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activeTab="2"/>
  </bookViews>
  <sheets>
    <sheet name="DADOS" sheetId="1" r:id="rId1"/>
    <sheet name="BDI (1)" sheetId="2" state="hidden" r:id="rId2"/>
    <sheet name="PO" sheetId="3" r:id="rId3"/>
    <sheet name="PLQ" sheetId="4" r:id="rId4"/>
    <sheet name="CFF" sheetId="5" r:id="rId5"/>
  </sheets>
  <externalReferences>
    <externalReference r:id="rId8"/>
  </externalReferences>
  <definedNames>
    <definedName name="_xlnm.Print_Area" localSheetId="1">'BDI (1)'!$I$1:$R$50</definedName>
    <definedName name="_xlnm.Print_Area" localSheetId="4">'CFF'!$L$1:$X$27</definedName>
    <definedName name="_xlnm.Print_Area" localSheetId="0">'DADOS'!$A$1:$X$87</definedName>
    <definedName name="_xlnm.Print_Area" localSheetId="3">'PLQ'!$B$1:$P$48</definedName>
    <definedName name="_xlnm.Print_Area" localSheetId="2">'PO'!$K$1:$T$57</definedName>
    <definedName name="DATABASE">TEXT(Import.DataBase,"mm-aaaa")</definedName>
    <definedName name="CFF.ColunaPadrão">'CFF'!$AC:$AC</definedName>
    <definedName name="CFF.Colunas">'CFF'!$P$10:$X$10</definedName>
    <definedName name="CFF.Dados">OFFSET('CFF'!$L$17,1,0):OFFSET('CFF'!$X$21,-1,-1)</definedName>
    <definedName name="CFF.IncluirLinha">MAX('PO'!$V$12:$V$42)*CFF.NumLinha-ROW('CFF'!$F$21)+ROW('CFF'!$F$17)+1</definedName>
    <definedName name="CFF.Item">OFFSET('CFF'!$L$17,1,0):OFFSET('CFF'!$X$21,-1,-1)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OFFSET('PO'!$M$12,1,0):OFFSET('PO'!$M$42,-1,0)</definedName>
    <definedName name="Import.CR">'DADOS'!$A$29</definedName>
    <definedName name="Import.CTEF">'DADOS'!$A$43</definedName>
    <definedName name="Import.CustoUnitário">OFFSET('PO'!$Q$12,1,0):OFFSET('PO'!$Q$42,-1,0)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OFFSET('PO'!$N$12,1,0):OFFSET('PO'!$N$42,-1,0)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OFFSET('PO'!$L$12,1,0):OFFSET('PO'!$L$42,-1,0)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OFFSET('PO'!$K$12,1,0):OFFSET('PO'!$K$42,-1,0)</definedName>
    <definedName name="Import.Localidade">'DADOS'!$K$32</definedName>
    <definedName name="Import.LocalSINAPI">'DADOS'!$D$38</definedName>
    <definedName name="Import.Município">'DADOS'!$G$32</definedName>
    <definedName name="Import.Nível">OFFSET('PO'!$J$12,1,0):OFFSET('PO'!$J$42,-1,0)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OFFSET('PLQ'!$F$12,1,0):OFFSET('PLQ'!$P$42,-1,-1)</definedName>
    <definedName name="Import.POArred">'PO'!$X$3:$X$7</definedName>
    <definedName name="Import.PreçoTotal">OFFSET('PO'!$T$12,1,0):OFFSET('PO'!$T$42,-1,0)</definedName>
    <definedName name="Import.PreçoUnitário">OFFSET('PO'!$S$12,1,0):OFFSET('PO'!$S$42,-1,0)</definedName>
    <definedName name="Import.Programa">'DADOS'!$F$29</definedName>
    <definedName name="Import.Proponente">'DADOS'!$A$32</definedName>
    <definedName name="Import.Quantidade">OFFSET('PO'!$P$12,1,0):OFFSET('PO'!$P$42,-1,0)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OFFSET('PO'!$O$12,1,0):OFFSET('PO'!$O$42,-1,0)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OFFSET('PO'!$Z$12,1,0):OFFSET('PO'!$Z$42,-1,0)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'PO'!$K$43</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'PLQ'!$B$9:OFFSET('PLQ'!$B$42,-1,0)</definedName>
    <definedName name="PLQ.LinhaPadrão">'PLQ'!$A$11:$P$11</definedName>
    <definedName name="PLQ.qtde.frentes">COUNTA('PLQ'!$F$9:$P$9)</definedName>
    <definedName name="PO.BDI">OFFSET('PO'!$R$12,1,0):OFFSET('PO'!$R$42,-1,0)</definedName>
    <definedName name="PO.CustoRef">OFFSET('PO'!$Y$12,1,0):OFFSET('PO'!$Y$42,-1,0)</definedName>
    <definedName name="PO.CustoUnitario">ROUND('PO'!$Q1,15-13*'PO'!$X$4)</definedName>
    <definedName name="PO.Dados">'PO'!$C$12:OFFSET('PO'!$Z$42,-1,0)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"&amp;DATABASE&amp;".xls]Banco'!$b:$g"),'PO'!linhaSINAPIxls,3),"")</definedName>
    <definedName name="Referencia.Desonerado">IF(ISNUMBER('PO'!linhaSINAPIxls),VALUE(INDEX(INDIRECT("'[Referência "&amp;DATABASE&amp;".xls]Banco'!$b:$g"),'PO'!linhaSINAPIxls,5)),0)</definedName>
    <definedName name="Referencia.NaoDesonerado">IF(ISNUMBER('PO'!linhaSINAPIxls),VALUE(INDEX(INDIRECT("'[Referência "&amp;DATABASE&amp;".xls]Banco'!$b:$g"),'PO'!linhaSINAPIxls,6)),0)</definedName>
    <definedName name="Referencia.Unidade">IF(ISNUMBER('PO'!linhaSINAPIxls),INDEX(INDIRECT("'[Referência "&amp;DATABASE&amp;".xls]Banco'!$b:$g"),'PO'!linhaSINAPIxls,4),"")</definedName>
    <definedName name="SaldoPerc">1-IF(ISNUMBER('CFF'!IV2),'CFF'!IV2,0)</definedName>
    <definedName name="SENHAGT" hidden="1">"quantidades"</definedName>
    <definedName name="SomaAgrup">SUMIF(OFFSET('PO'!$A1,1,0,'PO'!$B1),"S",OFFSET('PO'!A1,1,0,'PO'!$B1))</definedName>
    <definedName name="TipoOrçamento">"LICITADO"</definedName>
    <definedName name="_xlnm.Print_Titles" localSheetId="4">'CFF'!$L:$O,'CFF'!$10:$10</definedName>
    <definedName name="_xlnm.Print_Titles" localSheetId="3">'PLQ'!$B:$E,'PLQ'!$9:$10</definedName>
    <definedName name="_xlnm.Print_Titles" localSheetId="2">'PO'!$10:$10</definedName>
    <definedName name="Versao">'DADOS'!$A$2</definedName>
    <definedName name="VTOTAL1">ROUND(PO.Quantidade*PO.PrecoUnitario,15-13*'PO'!$X$7)</definedName>
  </definedNames>
  <calcPr fullCalcOnLoad="1"/>
</workbook>
</file>

<file path=xl/sharedStrings.xml><?xml version="1.0" encoding="utf-8"?>
<sst xmlns="http://schemas.openxmlformats.org/spreadsheetml/2006/main" count="522" uniqueCount="311">
  <si>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</si>
  <si>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</si>
  <si>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</si>
  <si>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</si>
  <si>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</si>
  <si>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</si>
  <si>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</si>
  <si>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</si>
  <si>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</si>
  <si>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</si>
  <si>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</si>
  <si>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</si>
  <si>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</si>
  <si>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</si>
  <si>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</si>
  <si>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</si>
  <si>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</si>
  <si>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</si>
  <si>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</si>
  <si>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</si>
  <si>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</si>
  <si>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</si>
  <si>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</si>
  <si>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</si>
  <si>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</si>
  <si>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</si>
  <si>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</si>
  <si>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</si>
  <si>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</si>
  <si>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</si>
  <si>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</si>
  <si>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</si>
  <si>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</si>
  <si>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</si>
  <si>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</si>
  <si>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</si>
  <si>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</si>
  <si>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</si>
  <si>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</si>
  <si>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</si>
  <si>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</si>
  <si>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</si>
  <si>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</si>
  <si>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</si>
  <si>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</si>
  <si>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</si>
  <si>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</si>
  <si>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</si>
  <si>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</si>
  <si>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</si>
  <si>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</si>
  <si>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</si>
  <si>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</si>
  <si>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</si>
  <si>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</si>
  <si>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</si>
  <si>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</si>
  <si>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</si>
  <si>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</si>
  <si>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</si>
  <si>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</si>
  <si>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</si>
  <si>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</si>
  <si>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</si>
  <si>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</si>
  <si>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</si>
  <si>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</si>
  <si>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</si>
  <si>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</si>
  <si>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</si>
  <si>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</si>
  <si>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</si>
  <si>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</si>
  <si>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</si>
  <si>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</si>
  <si>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</si>
  <si>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</si>
  <si>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</si>
  <si>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</si>
  <si>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</si>
  <si>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</si>
  <si>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</si>
  <si>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</si>
  <si>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</si>
  <si>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</si>
  <si>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</si>
  <si>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</si>
  <si>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</si>
  <si>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</si>
  <si>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</si>
  <si>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</si>
  <si>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</si>
  <si>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</si>
  <si>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</si>
  <si>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</si>
  <si>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</si>
  <si>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</si>
  <si>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</si>
  <si>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</si>
  <si>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</si>
  <si>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</si>
  <si>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</si>
  <si>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</si>
  <si>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</si>
  <si>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SIM</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</si>
  <si>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</si>
  <si>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</si>
  <si>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</si>
  <si>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</si>
  <si>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</si>
  <si>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</si>
  <si>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</si>
  <si>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</si>
  <si>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</si>
  <si>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</si>
  <si>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</si>
  <si>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</si>
  <si>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</si>
  <si>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</si>
  <si>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</si>
  <si>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</si>
  <si>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</si>
  <si>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</si>
  <si>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</si>
  <si>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</si>
  <si>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</si>
  <si>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</si>
  <si>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</si>
  <si>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</si>
  <si>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</si>
  <si>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</si>
  <si>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</si>
  <si>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</si>
  <si>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</si>
  <si>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</si>
  <si>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</si>
  <si>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</si>
  <si>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</si>
  <si>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</si>
  <si>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</si>
  <si>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</si>
  <si>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</si>
  <si>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</si>
  <si>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</si>
  <si>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</si>
  <si>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</si>
  <si>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</si>
  <si>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</si>
  <si>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</si>
  <si>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</si>
  <si>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</si>
  <si>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</si>
  <si>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</si>
  <si>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</si>
  <si>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</si>
  <si>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</si>
  <si>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</si>
  <si>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</si>
  <si>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</si>
  <si>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</si>
  <si>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</si>
  <si>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</si>
  <si>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</si>
  <si>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</si>
  <si>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</si>
  <si>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</si>
  <si>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</si>
  <si>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</si>
  <si>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</si>
  <si>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</si>
  <si>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</si>
  <si>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</si>
  <si>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</si>
  <si>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</si>
  <si>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</si>
  <si>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</si>
  <si>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</si>
  <si>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</si>
  <si>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</si>
  <si>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</si>
  <si>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</si>
  <si>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</si>
  <si>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</si>
  <si>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</si>
  <si>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</si>
  <si>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</si>
  <si>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</si>
  <si>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</si>
  <si>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</si>
  <si>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</si>
  <si>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</si>
  <si>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</si>
  <si>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</si>
  <si>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</si>
  <si>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</si>
  <si>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</si>
  <si>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</si>
  <si>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</si>
  <si>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</si>
  <si>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</si>
  <si>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</si>
  <si>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</si>
  <si>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</si>
  <si>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</si>
  <si>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</si>
  <si>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</si>
  <si>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</si>
  <si>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</si>
  <si>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</si>
  <si>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</si>
  <si>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</si>
  <si>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</si>
  <si>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</si>
  <si>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</si>
  <si>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</si>
  <si>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</si>
  <si>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</si>
  <si>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</si>
  <si>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</si>
  <si>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</si>
  <si>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</si>
  <si>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</si>
  <si>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</si>
  <si>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</si>
  <si>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</si>
  <si>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</si>
  <si>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</si>
  <si>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</si>
  <si>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</si>
  <si>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</si>
  <si>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NAVIRAÍ - MS</t>
  </si>
  <si>
    <t>SINAPI</t>
  </si>
  <si>
    <t>SERVIÇOS PRELIMINARES</t>
  </si>
  <si>
    <t>ÚNICO</t>
  </si>
  <si>
    <t>M2</t>
  </si>
  <si>
    <t>PREFEITO MUNICIPAL</t>
  </si>
  <si>
    <t>JOSÉ IZAURÍ DE MACEDO</t>
  </si>
  <si>
    <t>SINAPI-I</t>
  </si>
  <si>
    <t>1523</t>
  </si>
  <si>
    <t>92873</t>
  </si>
  <si>
    <t>92410</t>
  </si>
  <si>
    <t xml:space="preserve">RAMPAS </t>
  </si>
  <si>
    <t>96396</t>
  </si>
  <si>
    <t xml:space="preserve">CENTRO </t>
  </si>
  <si>
    <t>PMN-CP</t>
  </si>
  <si>
    <t>001</t>
  </si>
  <si>
    <t>34723</t>
  </si>
  <si>
    <t>72947</t>
  </si>
  <si>
    <t>002</t>
  </si>
  <si>
    <t>PAVIMENTAÇÃO ASFÁLTICA COM GUIAS, SARJETAS E PASSEIO PÚBLICO NAS SEGUINTES RUAS FLÓRIDA, GLÓRIA, LÍDIA, MARÍLIA E DILMA NO MUNICÍPIO  DE NAVIRAÍ - MS</t>
  </si>
  <si>
    <t>PAVIMENTAÇÃO DA RUA FLÓRIDA, GLÓRIA, LÍDA, MARÍLIA E DILMA.</t>
  </si>
  <si>
    <t>1056086-44</t>
  </si>
  <si>
    <t>MCIDADES</t>
  </si>
  <si>
    <t>PLANEJAMENTO URBANO</t>
  </si>
  <si>
    <t>PAVIMENTAÇÃO</t>
  </si>
  <si>
    <t>PREFEITURA MUNICIPAL DE NAVIRAÍ</t>
  </si>
  <si>
    <t>Sim</t>
  </si>
  <si>
    <t>PAVIMENTAÇÃO ASFÁLTICA COM GUIAS, SARJETAS E PASSEIO, NAS RUA FLÓRIDA, GLÓRIA, LÍDIA. MARÍLIA E DILMA.</t>
  </si>
  <si>
    <t>Rua Flórida</t>
  </si>
  <si>
    <t>Rua Glória</t>
  </si>
  <si>
    <t>Rua Lídia</t>
  </si>
  <si>
    <t>Rua Marília</t>
  </si>
  <si>
    <t>Rua Dilma</t>
  </si>
  <si>
    <t>74209/001</t>
  </si>
  <si>
    <t>93208</t>
  </si>
  <si>
    <t xml:space="preserve">TERRAPLANAGEM </t>
  </si>
  <si>
    <t xml:space="preserve">CORTE E ATERRO </t>
  </si>
  <si>
    <t>74010/01</t>
  </si>
  <si>
    <t>74205/001</t>
  </si>
  <si>
    <t>93590</t>
  </si>
  <si>
    <t xml:space="preserve">PAVIMENTAÇÃO ASFÁLTICA </t>
  </si>
  <si>
    <t>41721</t>
  </si>
  <si>
    <t>83356</t>
  </si>
  <si>
    <t>96401</t>
  </si>
  <si>
    <t>72942</t>
  </si>
  <si>
    <t>95990</t>
  </si>
  <si>
    <t>95430</t>
  </si>
  <si>
    <t xml:space="preserve">SERVIÇOS COMPLEMENTARES </t>
  </si>
  <si>
    <t>73916/002</t>
  </si>
  <si>
    <t>94267</t>
  </si>
  <si>
    <t>94993</t>
  </si>
  <si>
    <t>PLACA DE OBRA EM CHAPA DE ACO GALVANIZADO</t>
  </si>
  <si>
    <t>EXECUÇÃO DE ALMOXARIFADO EM CANTEIRO DE OBRA EM CHAPA DE MADEIRA COMPENSADA, INCLUSO PRATELEIRAS. AF_02/2016</t>
  </si>
  <si>
    <t>CARGA E DESCARGA MECANICA DE SOLO UTILIZANDO CAMINHAO BASCULANTE 6,0M3/16T E PA CARREGADEIRA SOBRE PNEUS 128 HP, CAPACIDADE DA CAÇAMBA 1,7 A 2,8 M3, PESO OPERACIONAL 11632 KG</t>
  </si>
  <si>
    <t>ESCAVACAO MECANICA DE MATERIAL 1A. CATEGORIA, PROVENIENTE DE CORTE DE SUBLEITO (C/TRATOR ESTEIRAS  160HP)</t>
  </si>
  <si>
    <t>TRANSPORTE COM CAMINHÃO BASCULANTE DE 10 M3, EM VIA URBANA PAVIMENTADA, DMT ACIMA DE 30KM (UNIDADE: M3XKM). AF_04/2016</t>
  </si>
  <si>
    <t>COMPACTACAO MECANICA A 95% DO PROCTOR NORMAL - PAVIMENTACAO URBANA</t>
  </si>
  <si>
    <t>EXECUÇÃO E COMPACTAÇÃO DE BASE E OU SUB BASE COM BRITA GRADUADA SIMPLES - EXCLUSIVE CARGA E TRANSPORTE. AF_09/2017</t>
  </si>
  <si>
    <t>TRANSPORTE COMERCIAL DE BRITA</t>
  </si>
  <si>
    <t>EXECUÇÃO DE IMPRIMAÇÃO COM ASFALTO DILUÍDO CM-30. AF_09/2017</t>
  </si>
  <si>
    <t>PINTURA DE LIGACAO COM EMULSAO RR-1C</t>
  </si>
  <si>
    <t>CONSTRUÇÃO DE PAVIMENTO COM APLICAÇÃO DE CONCRETO BETUMINOSO USINADO A QUENTE (CBUQ), CAMADA DE ROLAMENTO, COM ESPESSURA DE 3,0 CM - EXCLUSIVE TRANSPORTE. AF_03/2017</t>
  </si>
  <si>
    <t>TRANSPORTE COM CAMINHÃO BASCULANTE DE 18 M3, EM VIA URBANA PAVIMENTADA, DMT ACIMA DE 30 KM (UNIDADE: TXKM). AF_09/2016</t>
  </si>
  <si>
    <t>SINALIZACAO HORIZONTAL COM TINTA RETRORREFLETIVA A BASE DE RESINA ACRILICA COM MICROESFERAS DE VIDRO</t>
  </si>
  <si>
    <t>PLACA ESMALTADA PARA IDENTIFICAÇÃO NR DE RUA, DIMENSÕES 45X25CM</t>
  </si>
  <si>
    <t>PLACA DE SINALIZACAO EM CHAPA DE ACO NUM 16 COM PINTURA REFLETIVA</t>
  </si>
  <si>
    <t>SUPORTE EM TUBO DE AÇO GALVANIZADO PARA PLACA DE IDENTIFICAÇÃO E SINALIZAÇÃO.</t>
  </si>
  <si>
    <t>GUIA (MEIO-FIO) E SARJETA CONJUGADOS DE CONCRETO, MOLDADA  IN LOCO  EM TRECHO RETO COM EXTRUSORA, 45 CM BASE (15 CM BASE DA GUIA + 30 CM BASE DA SARJETA) X 22 CM ALTURA. AF_06/2016</t>
  </si>
  <si>
    <t>EXECUÇÃO DE PASSEIO (CALÇADA) OU PISO DE CONCRETO COM CONCRETO MOLDADO IN LOCO, USINADO, ACABAMENTO CONVENCIONAL, ESPESSURA 6 CM, ARMADO. AF_07/2016</t>
  </si>
  <si>
    <t>PISO PODOTÁTIL DIRECIONAL OU ALERTA EM PLCA CIMENTICIA DE ALTA RESISTENCIA.</t>
  </si>
  <si>
    <t>CONCRETO USINADO CONVENCIONAL (NAO BOMBEAVEL) CLASSE DE RESISTENCIA C15, COM BRITA 1 E 2, SLUMP = 80 MM +/- 10 MM (NBR 8953)</t>
  </si>
  <si>
    <t>LANÇAMENTO COM USO DE BALDES, ADENSAMENTO E ACABAMENTO DE CONCRETO EM ESTRUTURAS. AF_12/2015</t>
  </si>
  <si>
    <t>MONTAGEM E DESMONTAGEM DE FÔRMA DE PILARES RETANGULARES E ESTRUTURAS SIMILARES COM ÁREA MÉDIA DAS SEÇÕES MENOR OU IGUAL A 0,25 M², PÉ-DIREITO SIMPLES, EM MADEIRA SERRADA, 2 UTILIZAÇÕES. AF_12/2015</t>
  </si>
  <si>
    <t>M3</t>
  </si>
  <si>
    <t>M3XKM</t>
  </si>
  <si>
    <t>TXKM</t>
  </si>
  <si>
    <t>UN</t>
  </si>
  <si>
    <t xml:space="preserve">M2    </t>
  </si>
  <si>
    <t>UNIDADE</t>
  </si>
  <si>
    <t>M</t>
  </si>
  <si>
    <t xml:space="preserve">M3    </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</si>
</sst>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quot;\ * #,##0.00_-;\-&quot;R$&quot;\ * #,##0.00_-;_-&quot;R$&quot;\ * &quot;-&quot;??_-;_-@_-"/>
    <numFmt numFmtId="165" formatCode="_(* #,##0.00_);_(* \(#,##0.00\);_(* &quot;-&quot;??_);_(@_)"/>
    <numFmt numFmtId="166" formatCode="_(&quot;R$&quot;* #,##0.00_);_(&quot;R$&quot;* \(#,##0.00\);_(&quot;R$&quot;* &quot;-&quot;??_);_(@_)"/>
    <numFmt numFmtId="167" formatCode="dd/mm/yy;@"/>
    <numFmt numFmtId="168" formatCode="[$-416]mmm\-yy;@"/>
    <numFmt numFmtId="169" formatCode="[$-F800]dddd\,\ mmmm\ dd\,\ yyyy"/>
    <numFmt numFmtId="170" formatCode="_(&quot;R$ &quot;* #,##0.00_);_(&quot;R$ &quot;* \(#,##0.00\);_(&quot;R$ &quot;* &quot;-&quot;??_);_(@_)"/>
    <numFmt numFmtId="171" formatCode="dd\ &quot;de&quot;\ mmmm\ &quot;de&quot;\ yyyy"/>
    <numFmt numFmtId="172" formatCode="General;General;"/>
    <numFmt numFmtId="173" formatCode="[$-416]dddd\,\ d&quot; de &quot;mmmm&quot; de &quot;yyyy"/>
  </numFmts>
  <fonts count="47">
    <font>
      <sz val="10"/>
      <name val="Arial"/>
      <family val="0"/>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style="medium"/>
      <right/>
      <top/>
      <bottom/>
    </border>
    <border>
      <left/>
      <right style="thin"/>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1"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41"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5" fontId="0" fillId="0" borderId="0" applyFont="0" applyFill="0" applyBorder="0" applyAlignment="0" applyProtection="0"/>
    <xf numFmtId="43" fontId="0" fillId="0" borderId="0" applyFont="0" applyFill="0" applyBorder="0" applyAlignment="0" applyProtection="0"/>
    <xf numFmtId="0" fontId="12" fillId="0" borderId="0" applyNumberFormat="0" applyFill="0" applyBorder="0" applyAlignment="0" applyProtection="0"/>
  </cellStyleXfs>
  <cellXfs count="398">
    <xf numFmtId="0" fontId="0" fillId="0" borderId="0" xfId="0"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ont="1" applyAlignment="1">
      <alignment/>
    </xf>
    <xf numFmtId="0" fontId="19" fillId="0" borderId="0" xfId="0" applyFont="1" applyAlignment="1">
      <alignment/>
    </xf>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5" fontId="21" fillId="24" borderId="10" xfId="106" applyNumberFormat="1" applyFont="1" applyFill="1" applyBorder="1" applyAlignment="1" applyProtection="1">
      <alignment horizontal="center" vertical="center"/>
      <protection/>
    </xf>
    <xf numFmtId="10" fontId="21" fillId="24" borderId="10" xfId="94" applyNumberFormat="1" applyFont="1" applyFill="1" applyBorder="1" applyAlignment="1" applyProtection="1">
      <alignment horizontal="center" vertical="center"/>
      <protection/>
    </xf>
    <xf numFmtId="0" fontId="22"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165" fontId="0" fillId="0" borderId="0" xfId="106" applyFont="1" applyAlignment="1">
      <alignment/>
    </xf>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applyAlignment="1">
      <alignment/>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0" applyFont="1" applyBorder="1" applyAlignment="1" applyProtection="1">
      <alignment horizontal="left" vertical="top"/>
      <protection/>
    </xf>
    <xf numFmtId="0" fontId="21" fillId="0" borderId="0" xfId="90" applyFont="1" applyBorder="1" applyAlignment="1" applyProtection="1">
      <alignment horizontal="left" vertical="top"/>
      <protection/>
    </xf>
    <xf numFmtId="0" fontId="21" fillId="0" borderId="12" xfId="90" applyFont="1" applyBorder="1" applyAlignment="1" applyProtection="1">
      <alignment horizontal="left" vertical="top"/>
      <protection/>
    </xf>
    <xf numFmtId="10" fontId="0" fillId="0" borderId="0" xfId="94"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Alignment="1" applyProtection="1">
      <alignment/>
      <protection/>
    </xf>
    <xf numFmtId="0" fontId="20" fillId="0" borderId="0" xfId="0" applyFont="1" applyAlignment="1">
      <alignment horizontal="left"/>
    </xf>
    <xf numFmtId="167" fontId="0" fillId="0" borderId="0" xfId="106" applyNumberFormat="1" applyFont="1" applyFill="1" applyBorder="1" applyAlignment="1" applyProtection="1">
      <alignment/>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88" applyFont="1" applyProtection="1">
      <alignment/>
      <protection/>
    </xf>
    <xf numFmtId="0" fontId="21" fillId="0" borderId="0" xfId="88" applyFont="1" applyAlignment="1" applyProtection="1">
      <alignment horizontal="center"/>
      <protection/>
    </xf>
    <xf numFmtId="0" fontId="21" fillId="0" borderId="14" xfId="88" applyFont="1" applyBorder="1" applyAlignment="1" applyProtection="1">
      <alignment horizontal="center"/>
      <protection/>
    </xf>
    <xf numFmtId="10" fontId="29" fillId="0" borderId="14" xfId="88" applyNumberFormat="1" applyFont="1" applyFill="1" applyBorder="1" applyAlignment="1" applyProtection="1">
      <alignment horizontal="center"/>
      <protection/>
    </xf>
    <xf numFmtId="0" fontId="20" fillId="0" borderId="0" xfId="88" applyFont="1" applyAlignment="1" applyProtection="1">
      <alignment horizontal="center"/>
      <protection/>
    </xf>
    <xf numFmtId="0" fontId="30" fillId="0" borderId="0" xfId="88" applyFont="1" applyAlignment="1" applyProtection="1">
      <alignment/>
      <protection/>
    </xf>
    <xf numFmtId="0" fontId="21" fillId="0" borderId="0" xfId="88" applyFont="1" applyProtection="1">
      <alignment/>
      <protection/>
    </xf>
    <xf numFmtId="0" fontId="21" fillId="0" borderId="14" xfId="88" applyFont="1" applyFill="1" applyBorder="1" applyAlignment="1" applyProtection="1">
      <alignment horizontal="center" vertical="center" wrapText="1"/>
      <protection/>
    </xf>
    <xf numFmtId="0" fontId="28" fillId="0" borderId="14" xfId="88" applyFont="1" applyBorder="1" applyAlignment="1" applyProtection="1">
      <alignment horizontal="center" vertical="center"/>
      <protection/>
    </xf>
    <xf numFmtId="10" fontId="28" fillId="22" borderId="14" xfId="88" applyNumberFormat="1" applyFont="1" applyFill="1" applyBorder="1" applyAlignment="1" applyProtection="1">
      <alignment horizontal="center" vertical="center"/>
      <protection locked="0"/>
    </xf>
    <xf numFmtId="4" fontId="24" fillId="0" borderId="14" xfId="88" applyNumberFormat="1" applyFont="1" applyFill="1" applyBorder="1" applyAlignment="1" applyProtection="1">
      <alignment horizontal="center" vertical="center"/>
      <protection/>
    </xf>
    <xf numFmtId="10" fontId="28" fillId="0" borderId="14" xfId="88" applyNumberFormat="1" applyFont="1" applyFill="1" applyBorder="1" applyAlignment="1" applyProtection="1">
      <alignment horizontal="center" vertical="center"/>
      <protection/>
    </xf>
    <xf numFmtId="10" fontId="28" fillId="0" borderId="14" xfId="88" applyNumberFormat="1" applyFont="1" applyFill="1" applyBorder="1" applyAlignment="1" applyProtection="1">
      <alignment horizontal="center" vertical="center" wrapText="1"/>
      <protection/>
    </xf>
    <xf numFmtId="0" fontId="28" fillId="0" borderId="14" xfId="88" applyFont="1" applyFill="1" applyBorder="1" applyAlignment="1" applyProtection="1">
      <alignment horizontal="center" vertical="center" wrapText="1"/>
      <protection/>
    </xf>
    <xf numFmtId="0" fontId="36" fillId="0" borderId="0" xfId="88" applyFont="1" applyFill="1" applyBorder="1" applyAlignment="1" applyProtection="1">
      <alignment horizontal="center" vertical="center" wrapText="1"/>
      <protection/>
    </xf>
    <xf numFmtId="10" fontId="36" fillId="0" borderId="0" xfId="88" applyNumberFormat="1" applyFont="1" applyFill="1" applyBorder="1" applyAlignment="1" applyProtection="1">
      <alignment horizontal="center" vertical="center"/>
      <protection/>
    </xf>
    <xf numFmtId="171" fontId="0" fillId="0" borderId="0" xfId="88" applyNumberFormat="1" applyFont="1" applyAlignment="1" applyProtection="1">
      <alignment/>
      <protection/>
    </xf>
    <xf numFmtId="0" fontId="28" fillId="0" borderId="0" xfId="88" applyFont="1" applyBorder="1" applyProtection="1">
      <alignment/>
      <protection/>
    </xf>
    <xf numFmtId="0" fontId="0" fillId="0" borderId="0" xfId="88" applyFont="1" applyBorder="1" applyProtection="1">
      <alignment/>
      <protection/>
    </xf>
    <xf numFmtId="0" fontId="28" fillId="0" borderId="0" xfId="88" applyFont="1" applyProtection="1">
      <alignment/>
      <protection/>
    </xf>
    <xf numFmtId="0" fontId="28" fillId="0" borderId="0" xfId="88" applyFont="1" applyAlignment="1" applyProtection="1">
      <alignment vertical="top"/>
      <protection/>
    </xf>
    <xf numFmtId="0" fontId="32" fillId="0" borderId="0" xfId="88"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applyAlignment="1">
      <alignment/>
    </xf>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Alignment="1" applyProtection="1">
      <alignment/>
      <protection/>
    </xf>
    <xf numFmtId="0" fontId="0" fillId="0" borderId="17" xfId="0" applyFont="1" applyBorder="1" applyAlignment="1">
      <alignment/>
    </xf>
    <xf numFmtId="0" fontId="28" fillId="0" borderId="0" xfId="0" applyFont="1" applyAlignment="1">
      <alignment/>
    </xf>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applyAlignment="1">
      <alignment/>
    </xf>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0" applyFont="1" applyBorder="1" applyAlignment="1" applyProtection="1">
      <alignment vertical="top"/>
      <protection/>
    </xf>
    <xf numFmtId="0" fontId="21" fillId="0" borderId="15" xfId="90" applyFont="1" applyBorder="1" applyAlignment="1" applyProtection="1">
      <alignment horizontal="center" vertical="top"/>
      <protection/>
    </xf>
    <xf numFmtId="0" fontId="0" fillId="0" borderId="0" xfId="0" applyFont="1" applyAlignment="1" applyProtection="1">
      <alignment/>
      <protection/>
    </xf>
    <xf numFmtId="10" fontId="0" fillId="22" borderId="16" xfId="94" applyNumberFormat="1" applyFont="1" applyFill="1" applyBorder="1" applyAlignment="1" applyProtection="1">
      <alignment horizontal="center" vertical="top" wrapText="1"/>
      <protection/>
    </xf>
    <xf numFmtId="10" fontId="0" fillId="0" borderId="16" xfId="94" applyNumberFormat="1" applyFont="1" applyFill="1" applyBorder="1" applyAlignment="1" applyProtection="1">
      <alignment horizontal="center" vertical="top" wrapText="1"/>
      <protection/>
    </xf>
    <xf numFmtId="165" fontId="21" fillId="24" borderId="19" xfId="106" applyNumberFormat="1" applyFont="1" applyFill="1" applyBorder="1" applyAlignment="1" applyProtection="1">
      <alignment horizontal="center" vertical="center" shrinkToFit="1"/>
      <protection/>
    </xf>
    <xf numFmtId="165"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88" applyFont="1" applyBorder="1" applyAlignment="1" applyProtection="1">
      <alignment horizontal="center" vertical="top"/>
      <protection/>
    </xf>
    <xf numFmtId="0" fontId="35" fillId="0" borderId="0" xfId="90"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4"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88" applyNumberFormat="1" applyFont="1" applyFill="1" applyBorder="1" applyAlignment="1" applyProtection="1">
      <alignment horizontal="center" vertical="center" wrapText="1"/>
      <protection/>
    </xf>
    <xf numFmtId="0" fontId="42" fillId="0" borderId="0" xfId="88" applyFont="1" applyAlignment="1" applyProtection="1">
      <alignment wrapText="1"/>
      <protection/>
    </xf>
    <xf numFmtId="0" fontId="43" fillId="0" borderId="0" xfId="88" applyFont="1" applyAlignment="1" applyProtection="1">
      <alignment vertical="top" wrapText="1"/>
      <protection/>
    </xf>
    <xf numFmtId="0" fontId="40" fillId="0" borderId="14" xfId="88" applyFont="1" applyBorder="1" applyAlignment="1" applyProtection="1">
      <alignment horizontal="center" vertical="center"/>
      <protection/>
    </xf>
    <xf numFmtId="4" fontId="24" fillId="0" borderId="0" xfId="88" applyNumberFormat="1" applyFont="1" applyFill="1" applyBorder="1" applyAlignment="1" applyProtection="1">
      <alignment horizontal="center" vertical="center" wrapText="1"/>
      <protection/>
    </xf>
    <xf numFmtId="0" fontId="0" fillId="0" borderId="0" xfId="88" applyFont="1" applyProtection="1">
      <alignment/>
      <protection locked="0"/>
    </xf>
    <xf numFmtId="0" fontId="21" fillId="0" borderId="0" xfId="0" applyFont="1" applyAlignment="1">
      <alignment/>
    </xf>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applyAlignment="1">
      <alignment/>
    </xf>
    <xf numFmtId="0" fontId="0" fillId="0" borderId="0" xfId="0" applyFont="1" applyFill="1" applyBorder="1" applyAlignment="1">
      <alignment/>
    </xf>
    <xf numFmtId="0" fontId="22" fillId="0" borderId="16" xfId="0" applyFont="1" applyBorder="1" applyAlignment="1">
      <alignment horizontal="center"/>
    </xf>
    <xf numFmtId="0" fontId="2" fillId="22" borderId="23" xfId="0" applyNumberFormat="1" applyFont="1" applyFill="1" applyBorder="1" applyAlignment="1" applyProtection="1">
      <alignment vertical="center" wrapText="1"/>
      <protection locked="0"/>
    </xf>
    <xf numFmtId="165"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2"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0" applyFont="1" applyFill="1" applyBorder="1" applyAlignment="1" applyProtection="1">
      <alignment horizontal="left" vertical="top"/>
      <protection/>
    </xf>
    <xf numFmtId="0" fontId="21" fillId="0" borderId="11" xfId="90" applyFont="1" applyFill="1" applyBorder="1" applyAlignment="1" applyProtection="1">
      <alignment vertical="top"/>
      <protection/>
    </xf>
    <xf numFmtId="0" fontId="21" fillId="0" borderId="15" xfId="90"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4" applyNumberFormat="1" applyFont="1" applyFill="1" applyBorder="1" applyAlignment="1" applyProtection="1">
      <alignment horizontal="center" vertical="top" wrapText="1"/>
      <protection/>
    </xf>
    <xf numFmtId="10" fontId="0" fillId="0" borderId="18" xfId="94" applyNumberFormat="1" applyFont="1" applyFill="1" applyBorder="1" applyAlignment="1" applyProtection="1">
      <alignment horizontal="left" vertical="top" wrapText="1"/>
      <protection/>
    </xf>
    <xf numFmtId="0" fontId="21" fillId="0" borderId="17" xfId="0" applyFont="1" applyBorder="1" applyAlignment="1">
      <alignment/>
    </xf>
    <xf numFmtId="0" fontId="21" fillId="0" borderId="17" xfId="0" applyFont="1" applyBorder="1" applyAlignment="1">
      <alignment horizontal="left"/>
    </xf>
    <xf numFmtId="0" fontId="0" fillId="0" borderId="17" xfId="0" applyFont="1" applyBorder="1" applyAlignment="1">
      <alignment horizontal="left"/>
    </xf>
    <xf numFmtId="0" fontId="21" fillId="0" borderId="17" xfId="88" applyFont="1" applyBorder="1" applyAlignment="1" applyProtection="1">
      <alignment horizontal="left"/>
      <protection/>
    </xf>
    <xf numFmtId="0" fontId="0" fillId="0" borderId="17" xfId="88"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4"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Alignment="1" applyProtection="1">
      <alignment/>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2" fillId="21" borderId="23" xfId="0" applyNumberFormat="1" applyFont="1" applyFill="1" applyBorder="1" applyAlignment="1" applyProtection="1">
      <alignment vertical="center" wrapText="1"/>
      <protection/>
    </xf>
    <xf numFmtId="165"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4" applyNumberFormat="1" applyFont="1" applyFill="1" applyBorder="1" applyAlignment="1" applyProtection="1">
      <alignment horizontal="center" vertical="center"/>
      <protection/>
    </xf>
    <xf numFmtId="4" fontId="28" fillId="0" borderId="0" xfId="94"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Alignment="1" applyProtection="1">
      <alignment/>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2" fillId="0" borderId="0" xfId="0" applyNumberFormat="1" applyFont="1" applyAlignment="1" applyProtection="1">
      <alignment/>
      <protection/>
    </xf>
    <xf numFmtId="0" fontId="21" fillId="0" borderId="17" xfId="0" applyFont="1" applyFill="1" applyBorder="1" applyAlignment="1" applyProtection="1">
      <alignment horizontal="left" vertical="center"/>
      <protection/>
    </xf>
    <xf numFmtId="0" fontId="0" fillId="0" borderId="17" xfId="0" applyFont="1" applyBorder="1" applyAlignment="1" applyProtection="1">
      <alignment/>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Alignment="1" applyProtection="1">
      <alignment/>
      <protection/>
    </xf>
    <xf numFmtId="0" fontId="0" fillId="0" borderId="11" xfId="0" applyBorder="1" applyAlignment="1" applyProtection="1" quotePrefix="1">
      <alignment/>
      <protection/>
    </xf>
    <xf numFmtId="10" fontId="28" fillId="0" borderId="11" xfId="94" applyNumberFormat="1" applyFont="1" applyFill="1" applyBorder="1" applyAlignment="1" applyProtection="1">
      <alignment horizontal="center" vertical="center"/>
      <protection/>
    </xf>
    <xf numFmtId="4" fontId="28" fillId="0" borderId="11" xfId="94"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4"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4" applyNumberFormat="1" applyFont="1" applyFill="1" applyBorder="1" applyAlignment="1" applyProtection="1">
      <alignment horizontal="center" vertical="center" shrinkToFit="1"/>
      <protection/>
    </xf>
    <xf numFmtId="10" fontId="24" fillId="25" borderId="0" xfId="94" applyNumberFormat="1" applyFont="1" applyFill="1" applyBorder="1" applyAlignment="1" applyProtection="1">
      <alignment horizontal="center" vertical="center" shrinkToFit="1"/>
      <protection/>
    </xf>
    <xf numFmtId="4" fontId="28" fillId="0" borderId="12" xfId="94" applyNumberFormat="1" applyFont="1" applyFill="1" applyBorder="1" applyAlignment="1" applyProtection="1">
      <alignment horizontal="center" vertical="center"/>
      <protection/>
    </xf>
    <xf numFmtId="10" fontId="0" fillId="0" borderId="14" xfId="0" applyNumberFormat="1" applyBorder="1" applyAlignment="1" applyProtection="1">
      <alignment/>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applyAlignment="1">
      <alignment/>
    </xf>
    <xf numFmtId="0" fontId="0" fillId="0" borderId="0" xfId="0" applyAlignment="1" quotePrefix="1">
      <alignment/>
    </xf>
    <xf numFmtId="0" fontId="28" fillId="0" borderId="0" xfId="0" applyFont="1" applyFill="1" applyBorder="1" applyAlignment="1" applyProtection="1">
      <alignment horizontal="left" wrapText="1"/>
      <protection locked="0"/>
    </xf>
    <xf numFmtId="0" fontId="0" fillId="0" borderId="14" xfId="0" applyFont="1" applyBorder="1" applyAlignment="1" applyProtection="1">
      <alignment/>
      <protection locked="0"/>
    </xf>
    <xf numFmtId="165"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4"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applyAlignment="1">
      <alignment/>
    </xf>
    <xf numFmtId="10" fontId="28" fillId="22" borderId="36" xfId="94" applyNumberFormat="1" applyFont="1" applyFill="1" applyBorder="1" applyAlignment="1" applyProtection="1">
      <alignment horizontal="center" vertical="center"/>
      <protection locked="0"/>
    </xf>
    <xf numFmtId="10" fontId="28" fillId="22" borderId="35" xfId="94" applyNumberFormat="1" applyFont="1" applyFill="1" applyBorder="1" applyAlignment="1" applyProtection="1">
      <alignment horizontal="center" vertical="center"/>
      <protection locked="0"/>
    </xf>
    <xf numFmtId="10" fontId="28" fillId="22" borderId="37" xfId="94" applyNumberFormat="1" applyFont="1" applyFill="1" applyBorder="1" applyAlignment="1" applyProtection="1">
      <alignment horizontal="center" vertical="center"/>
      <protection locked="0"/>
    </xf>
    <xf numFmtId="165"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4" applyNumberFormat="1" applyFont="1" applyFill="1" applyBorder="1" applyAlignment="1" applyProtection="1">
      <alignment horizontal="center" vertical="center" wrapText="1"/>
      <protection locked="0"/>
    </xf>
    <xf numFmtId="165" fontId="0" fillId="22" borderId="24" xfId="106" applyNumberFormat="1" applyFont="1" applyFill="1" applyBorder="1" applyAlignment="1" applyProtection="1">
      <alignment vertical="center" shrinkToFit="1"/>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1" fillId="0" borderId="11" xfId="90" applyFont="1" applyBorder="1" applyAlignment="1" applyProtection="1">
      <alignment horizontal="left" vertical="top"/>
      <protection/>
    </xf>
    <xf numFmtId="0" fontId="21" fillId="0" borderId="0" xfId="90" applyFont="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21" fillId="0" borderId="39"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21" fillId="0" borderId="11" xfId="90" applyFont="1" applyFill="1" applyBorder="1" applyAlignment="1" applyProtection="1">
      <alignment horizontal="left" vertical="top"/>
      <protection/>
    </xf>
    <xf numFmtId="0" fontId="21" fillId="0" borderId="0" xfId="90" applyFont="1" applyFill="1" applyBorder="1" applyAlignment="1" applyProtection="1">
      <alignment horizontal="left" vertical="top"/>
      <protection/>
    </xf>
    <xf numFmtId="0" fontId="21" fillId="0" borderId="12" xfId="90" applyFont="1" applyFill="1" applyBorder="1" applyAlignment="1" applyProtection="1">
      <alignment horizontal="left" vertical="top"/>
      <protection/>
    </xf>
    <xf numFmtId="0" fontId="21" fillId="0" borderId="12" xfId="90" applyFont="1" applyBorder="1" applyAlignment="1" applyProtection="1">
      <alignment horizontal="left" vertical="top"/>
      <protection/>
    </xf>
    <xf numFmtId="0" fontId="0" fillId="22" borderId="3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168" fontId="0" fillId="22" borderId="18" xfId="0" applyNumberFormat="1" applyFill="1" applyBorder="1" applyAlignment="1" applyProtection="1">
      <alignment horizontal="center" vertical="top" wrapText="1"/>
      <protection locked="0"/>
    </xf>
    <xf numFmtId="168" fontId="0" fillId="22" borderId="38" xfId="0" applyNumberFormat="1" applyFill="1" applyBorder="1" applyAlignment="1" applyProtection="1">
      <alignment horizontal="center" vertical="top" wrapText="1"/>
      <protection locked="0"/>
    </xf>
    <xf numFmtId="0" fontId="35" fillId="0" borderId="11" xfId="90" applyFont="1" applyBorder="1" applyAlignment="1" applyProtection="1">
      <alignment horizontal="left" vertical="top"/>
      <protection/>
    </xf>
    <xf numFmtId="0" fontId="35" fillId="0" borderId="12" xfId="90" applyFont="1" applyBorder="1" applyAlignment="1" applyProtection="1">
      <alignment horizontal="left" vertical="top"/>
      <protection/>
    </xf>
    <xf numFmtId="0" fontId="20" fillId="20" borderId="17" xfId="0" applyFont="1" applyFill="1" applyBorder="1" applyAlignment="1" applyProtection="1">
      <alignment horizontal="center" vertical="center" wrapText="1"/>
      <protection/>
    </xf>
    <xf numFmtId="0" fontId="20" fillId="20" borderId="40"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49" fontId="0" fillId="22" borderId="0" xfId="0" applyNumberFormat="1" applyFill="1" applyBorder="1" applyAlignment="1" applyProtection="1">
      <alignment horizontal="left"/>
      <protection locked="0"/>
    </xf>
    <xf numFmtId="14" fontId="0" fillId="22" borderId="18" xfId="94" applyNumberFormat="1" applyFont="1" applyFill="1" applyBorder="1" applyAlignment="1" applyProtection="1">
      <alignment horizontal="center" vertical="top" wrapText="1"/>
      <protection locked="0"/>
    </xf>
    <xf numFmtId="14" fontId="0" fillId="22" borderId="38" xfId="94" applyNumberFormat="1" applyFont="1" applyFill="1" applyBorder="1" applyAlignment="1" applyProtection="1">
      <alignment horizontal="center" vertical="top" wrapText="1"/>
      <protection locked="0"/>
    </xf>
    <xf numFmtId="49" fontId="0" fillId="22" borderId="18"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13" xfId="94" applyNumberFormat="1" applyFont="1" applyFill="1" applyBorder="1" applyAlignment="1" applyProtection="1">
      <alignment horizontal="left" vertical="top" wrapText="1"/>
      <protection locked="0"/>
    </xf>
    <xf numFmtId="49" fontId="0" fillId="22" borderId="38" xfId="94" applyNumberFormat="1" applyFont="1" applyFill="1" applyBorder="1" applyAlignment="1" applyProtection="1">
      <alignment horizontal="left" vertical="top" wrapText="1"/>
      <protection locked="0"/>
    </xf>
    <xf numFmtId="14" fontId="0" fillId="22" borderId="38" xfId="94"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35" fillId="0" borderId="11" xfId="90" applyFont="1" applyFill="1" applyBorder="1" applyAlignment="1" applyProtection="1">
      <alignment horizontal="left" vertical="top"/>
      <protection/>
    </xf>
    <xf numFmtId="0" fontId="35" fillId="0" borderId="12" xfId="90" applyFont="1" applyFill="1" applyBorder="1" applyAlignment="1" applyProtection="1">
      <alignment horizontal="left" vertical="top"/>
      <protection/>
    </xf>
    <xf numFmtId="168" fontId="0" fillId="0" borderId="18" xfId="0" applyNumberFormat="1" applyFill="1" applyBorder="1" applyAlignment="1" applyProtection="1">
      <alignment horizontal="center" vertical="top" wrapText="1"/>
      <protection/>
    </xf>
    <xf numFmtId="168" fontId="0" fillId="0" borderId="38" xfId="0" applyNumberForma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45" fillId="27" borderId="0" xfId="0" applyFont="1" applyFill="1" applyAlignment="1" applyProtection="1">
      <alignment horizontal="left" vertical="top" indent="2"/>
      <protection/>
    </xf>
    <xf numFmtId="10" fontId="0" fillId="0" borderId="18"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13" xfId="94" applyNumberFormat="1" applyFont="1" applyFill="1" applyBorder="1" applyAlignment="1" applyProtection="1">
      <alignment horizontal="left" vertical="top" wrapText="1"/>
      <protection/>
    </xf>
    <xf numFmtId="10" fontId="0" fillId="0" borderId="38" xfId="94" applyNumberFormat="1" applyFont="1" applyFill="1" applyBorder="1" applyAlignment="1" applyProtection="1">
      <alignment horizontal="left"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14" fontId="0" fillId="0" borderId="18" xfId="94" applyNumberFormat="1" applyFont="1" applyFill="1" applyBorder="1" applyAlignment="1" applyProtection="1">
      <alignment horizontal="center" vertical="top" wrapText="1"/>
      <protection/>
    </xf>
    <xf numFmtId="14" fontId="0" fillId="0" borderId="38" xfId="94" applyNumberFormat="1" applyFont="1" applyFill="1" applyBorder="1" applyAlignment="1" applyProtection="1">
      <alignment horizontal="center" vertical="top" wrapText="1"/>
      <protection/>
    </xf>
    <xf numFmtId="168" fontId="0" fillId="0" borderId="18" xfId="94" applyNumberFormat="1" applyFont="1" applyFill="1" applyBorder="1" applyAlignment="1" applyProtection="1">
      <alignment horizontal="left" vertical="top" wrapText="1"/>
      <protection/>
    </xf>
    <xf numFmtId="168" fontId="0" fillId="0" borderId="13" xfId="94" applyNumberFormat="1" applyFont="1" applyFill="1" applyBorder="1" applyAlignment="1" applyProtection="1">
      <alignment horizontal="left" vertical="top" wrapText="1"/>
      <protection/>
    </xf>
    <xf numFmtId="0" fontId="0" fillId="22" borderId="13" xfId="0"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10" fontId="0" fillId="22" borderId="18" xfId="94" applyNumberFormat="1" applyFont="1" applyFill="1" applyBorder="1" applyAlignment="1" applyProtection="1">
      <alignment horizontal="left" vertical="top" wrapText="1"/>
      <protection locked="0"/>
    </xf>
    <xf numFmtId="10" fontId="0" fillId="22" borderId="13" xfId="94" applyNumberFormat="1" applyFont="1" applyFill="1" applyBorder="1" applyAlignment="1" applyProtection="1">
      <alignment horizontal="left" vertical="top" wrapText="1"/>
      <protection locked="0"/>
    </xf>
    <xf numFmtId="10" fontId="0" fillId="22" borderId="38" xfId="94" applyNumberFormat="1" applyFont="1" applyFill="1" applyBorder="1" applyAlignment="1" applyProtection="1">
      <alignment horizontal="left" vertical="top" wrapText="1"/>
      <protection locked="0"/>
    </xf>
    <xf numFmtId="172" fontId="0" fillId="0" borderId="0" xfId="88" applyNumberFormat="1" applyFont="1" applyFill="1" applyBorder="1" applyAlignment="1" applyProtection="1">
      <alignment horizontal="left"/>
      <protection/>
    </xf>
    <xf numFmtId="0" fontId="41" fillId="0" borderId="0" xfId="88" applyFont="1" applyAlignment="1" applyProtection="1">
      <alignment horizontal="left" vertical="center" indent="1"/>
      <protection/>
    </xf>
    <xf numFmtId="0" fontId="0" fillId="0" borderId="14" xfId="88" applyFont="1" applyBorder="1" applyAlignment="1" applyProtection="1">
      <alignment horizontal="left" vertical="center" wrapText="1"/>
      <protection/>
    </xf>
    <xf numFmtId="0" fontId="36" fillId="0" borderId="0" xfId="88" applyFont="1" applyBorder="1" applyAlignment="1" applyProtection="1">
      <alignment horizontal="left" vertical="center" wrapText="1"/>
      <protection/>
    </xf>
    <xf numFmtId="2" fontId="31" fillId="0" borderId="17" xfId="88" applyNumberFormat="1" applyFont="1" applyFill="1" applyBorder="1" applyAlignment="1" applyProtection="1">
      <alignment horizontal="center" vertical="center"/>
      <protection/>
    </xf>
    <xf numFmtId="0" fontId="24" fillId="0" borderId="0" xfId="88" applyFont="1" applyBorder="1" applyAlignment="1" applyProtection="1">
      <alignment horizontal="left" vertical="center"/>
      <protection/>
    </xf>
    <xf numFmtId="0" fontId="0" fillId="0" borderId="0" xfId="88" applyFont="1" applyBorder="1" applyAlignment="1" applyProtection="1">
      <alignment horizontal="center" vertical="center"/>
      <protection/>
    </xf>
    <xf numFmtId="0" fontId="33" fillId="0" borderId="14" xfId="88" applyFont="1" applyBorder="1" applyAlignment="1" applyProtection="1">
      <alignment horizontal="center" vertical="center" wrapText="1"/>
      <protection/>
    </xf>
    <xf numFmtId="169" fontId="0" fillId="0" borderId="13" xfId="88" applyNumberFormat="1" applyFont="1" applyBorder="1" applyAlignment="1" applyProtection="1">
      <alignment horizontal="left"/>
      <protection/>
    </xf>
    <xf numFmtId="49" fontId="0" fillId="22" borderId="32" xfId="88" applyNumberFormat="1" applyFont="1" applyFill="1" applyBorder="1" applyAlignment="1" applyProtection="1">
      <alignment horizontal="left" vertical="top" wrapText="1"/>
      <protection locked="0"/>
    </xf>
    <xf numFmtId="49" fontId="0" fillId="22" borderId="10" xfId="88" applyNumberFormat="1" applyFont="1" applyFill="1" applyBorder="1" applyAlignment="1" applyProtection="1">
      <alignment horizontal="left" vertical="top" wrapText="1"/>
      <protection locked="0"/>
    </xf>
    <xf numFmtId="49" fontId="0" fillId="22" borderId="19" xfId="88" applyNumberFormat="1" applyFont="1" applyFill="1" applyBorder="1" applyAlignment="1" applyProtection="1">
      <alignment horizontal="left" vertical="top" wrapText="1"/>
      <protection locked="0"/>
    </xf>
    <xf numFmtId="0" fontId="0" fillId="0" borderId="17" xfId="88" applyFont="1" applyBorder="1" applyAlignment="1" applyProtection="1">
      <alignment horizontal="center" vertical="center"/>
      <protection/>
    </xf>
    <xf numFmtId="49" fontId="0" fillId="0" borderId="0" xfId="88" applyNumberFormat="1" applyFont="1" applyFill="1" applyBorder="1" applyAlignment="1" applyProtection="1">
      <alignment horizontal="left"/>
      <protection locked="0"/>
    </xf>
    <xf numFmtId="0" fontId="43" fillId="0" borderId="0" xfId="88" applyFont="1" applyAlignment="1" applyProtection="1">
      <alignment horizontal="center" vertical="top" wrapText="1"/>
      <protection/>
    </xf>
    <xf numFmtId="172" fontId="0" fillId="0" borderId="13" xfId="88" applyNumberFormat="1" applyFont="1" applyFill="1" applyBorder="1" applyAlignment="1" applyProtection="1">
      <alignment horizontal="left"/>
      <protection/>
    </xf>
    <xf numFmtId="0" fontId="0" fillId="0" borderId="14" xfId="88" applyFont="1" applyBorder="1" applyAlignment="1" applyProtection="1">
      <alignment horizontal="left" vertical="center"/>
      <protection/>
    </xf>
    <xf numFmtId="0" fontId="21" fillId="0" borderId="14" xfId="88" applyFont="1" applyFill="1" applyBorder="1" applyAlignment="1" applyProtection="1">
      <alignment horizontal="center" vertical="center"/>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70" fontId="2" fillId="22" borderId="18" xfId="85" applyFont="1" applyFill="1" applyBorder="1" applyAlignment="1" applyProtection="1">
      <alignment horizontal="left"/>
      <protection locked="0"/>
    </xf>
    <xf numFmtId="170" fontId="2" fillId="22" borderId="13" xfId="85" applyFont="1" applyFill="1" applyBorder="1" applyAlignment="1" applyProtection="1">
      <alignment horizontal="left"/>
      <protection locked="0"/>
    </xf>
    <xf numFmtId="170" fontId="2" fillId="22" borderId="38" xfId="85" applyFont="1" applyFill="1" applyBorder="1" applyAlignment="1" applyProtection="1">
      <alignment horizontal="left"/>
      <protection locked="0"/>
    </xf>
    <xf numFmtId="0" fontId="0" fillId="0" borderId="18" xfId="88" applyFont="1" applyFill="1" applyBorder="1" applyAlignment="1" applyProtection="1">
      <alignment horizontal="center" vertical="top" wrapText="1"/>
      <protection/>
    </xf>
    <xf numFmtId="0" fontId="0" fillId="0" borderId="38" xfId="88" applyFont="1" applyFill="1" applyBorder="1" applyAlignment="1" applyProtection="1">
      <alignment horizontal="center" vertical="top" wrapText="1"/>
      <protection/>
    </xf>
    <xf numFmtId="0" fontId="0" fillId="0" borderId="18" xfId="88" applyFont="1" applyFill="1" applyBorder="1" applyAlignment="1" applyProtection="1">
      <alignment horizontal="left" vertical="top" wrapText="1"/>
      <protection/>
    </xf>
    <xf numFmtId="0" fontId="0" fillId="0" borderId="38" xfId="88" applyFont="1" applyFill="1" applyBorder="1" applyAlignment="1" applyProtection="1">
      <alignment horizontal="left" vertical="top" wrapText="1"/>
      <protection/>
    </xf>
    <xf numFmtId="49" fontId="0" fillId="0" borderId="18" xfId="88" applyNumberFormat="1" applyFont="1" applyFill="1" applyBorder="1" applyAlignment="1" applyProtection="1">
      <alignment horizontal="left" vertical="top" wrapText="1"/>
      <protection/>
    </xf>
    <xf numFmtId="0" fontId="0" fillId="0" borderId="13" xfId="88" applyNumberFormat="1" applyFont="1" applyFill="1" applyBorder="1" applyAlignment="1" applyProtection="1">
      <alignment horizontal="left" vertical="top" wrapText="1"/>
      <protection/>
    </xf>
    <xf numFmtId="0" fontId="0" fillId="0" borderId="38" xfId="88" applyNumberFormat="1" applyFont="1" applyFill="1" applyBorder="1" applyAlignment="1" applyProtection="1">
      <alignment horizontal="left" vertical="top" wrapText="1"/>
      <protection/>
    </xf>
    <xf numFmtId="0" fontId="2" fillId="0" borderId="16" xfId="85" applyNumberFormat="1" applyFont="1" applyFill="1" applyBorder="1" applyAlignment="1" applyProtection="1">
      <alignment horizontal="left" wrapText="1"/>
      <protection/>
    </xf>
    <xf numFmtId="0" fontId="21" fillId="0" borderId="0" xfId="88" applyFont="1" applyBorder="1" applyAlignment="1" applyProtection="1">
      <alignment horizontal="left" vertical="center"/>
      <protection/>
    </xf>
    <xf numFmtId="10" fontId="2" fillId="22" borderId="14" xfId="88" applyNumberFormat="1" applyFont="1" applyFill="1" applyBorder="1" applyAlignment="1" applyProtection="1">
      <alignment horizontal="center"/>
      <protection locked="0"/>
    </xf>
    <xf numFmtId="0" fontId="2" fillId="0" borderId="14" xfId="88" applyFont="1" applyFill="1" applyBorder="1" applyAlignment="1" applyProtection="1">
      <alignment horizontal="left"/>
      <protection/>
    </xf>
    <xf numFmtId="0" fontId="24" fillId="0" borderId="14" xfId="88" applyFont="1" applyBorder="1" applyAlignment="1" applyProtection="1">
      <alignment horizontal="center" vertical="center"/>
      <protection/>
    </xf>
    <xf numFmtId="0" fontId="2" fillId="0" borderId="14" xfId="88" applyFont="1" applyFill="1" applyBorder="1" applyAlignment="1" applyProtection="1">
      <alignment horizontal="left" wrapText="1"/>
      <protection/>
    </xf>
    <xf numFmtId="0" fontId="24" fillId="0" borderId="14" xfId="88" applyFont="1" applyFill="1" applyBorder="1" applyAlignment="1" applyProtection="1">
      <alignment horizontal="center" vertical="center"/>
      <protection/>
    </xf>
    <xf numFmtId="4" fontId="24" fillId="0" borderId="14" xfId="88" applyNumberFormat="1" applyFont="1" applyFill="1" applyBorder="1" applyAlignment="1" applyProtection="1">
      <alignment horizontal="center" vertical="center" wrapText="1"/>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1" fontId="0" fillId="0" borderId="0" xfId="0" applyNumberFormat="1" applyFont="1" applyBorder="1" applyAlignment="1" applyProtection="1">
      <alignment horizontal="left"/>
      <protection locked="0"/>
    </xf>
    <xf numFmtId="172" fontId="0" fillId="0" borderId="13" xfId="0" applyNumberFormat="1" applyFont="1" applyBorder="1" applyAlignment="1" applyProtection="1">
      <alignment horizontal="left"/>
      <protection locked="0"/>
    </xf>
    <xf numFmtId="172" fontId="0" fillId="0" borderId="13" xfId="0" applyNumberFormat="1" applyFont="1" applyBorder="1" applyAlignment="1" applyProtection="1">
      <alignment horizontal="left"/>
      <protection/>
    </xf>
    <xf numFmtId="171" fontId="0" fillId="0" borderId="13" xfId="0" applyNumberFormat="1" applyFont="1" applyBorder="1" applyAlignment="1" applyProtection="1">
      <alignment horizontal="left"/>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2" fontId="0" fillId="0" borderId="13" xfId="0" applyNumberFormat="1" applyFont="1" applyFill="1" applyBorder="1" applyAlignment="1" applyProtection="1">
      <alignment horizontal="left" vertical="center"/>
      <protection/>
    </xf>
    <xf numFmtId="0" fontId="28" fillId="0" borderId="0" xfId="0" applyFont="1" applyAlignment="1" applyProtection="1">
      <alignment horizontal="center" vertical="top" wrapText="1"/>
      <protection/>
    </xf>
    <xf numFmtId="171"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40"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0" fontId="2"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5"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cel Built-in Normal" xfId="71"/>
    <cellStyle name="Explanatory Text" xfId="72"/>
    <cellStyle name="Good" xfId="73"/>
    <cellStyle name="Heading 1" xfId="74"/>
    <cellStyle name="Heading 2" xfId="75"/>
    <cellStyle name="Heading 3" xfId="76"/>
    <cellStyle name="Heading 4" xfId="77"/>
    <cellStyle name="Incorreto" xfId="78"/>
    <cellStyle name="Input" xfId="79"/>
    <cellStyle name="Linked Cell" xfId="80"/>
    <cellStyle name="Currency" xfId="81"/>
    <cellStyle name="Currency [0]" xfId="82"/>
    <cellStyle name="Moeda 2" xfId="83"/>
    <cellStyle name="Moeda 2 2" xfId="84"/>
    <cellStyle name="Moeda_Composicao BDI v2.1" xfId="85"/>
    <cellStyle name="Neutra" xfId="86"/>
    <cellStyle name="Neutral" xfId="87"/>
    <cellStyle name="Normal 2" xfId="88"/>
    <cellStyle name="Normal 3" xfId="89"/>
    <cellStyle name="Normal_FICHA DE VERIFICAÇÃO PRELIMINAR - Plano R" xfId="90"/>
    <cellStyle name="Nota" xfId="91"/>
    <cellStyle name="Note" xfId="92"/>
    <cellStyle name="Output" xfId="93"/>
    <cellStyle name="Percent" xfId="94"/>
    <cellStyle name="Saída" xfId="95"/>
    <cellStyle name="Comma [0]"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Comma" xfId="106"/>
    <cellStyle name="Vírgula 2" xfId="107"/>
    <cellStyle name="Warning Text" xfId="108"/>
  </cellStyles>
  <dxfs count="259">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border>
        <top style="thin"/>
      </border>
    </dxf>
    <dxf>
      <fill>
        <patternFill>
          <bgColor indexed="55"/>
        </patternFill>
      </fill>
    </dxf>
    <dxf>
      <font>
        <color indexed="9"/>
      </font>
      <fill>
        <patternFill patternType="none">
          <bgColor indexed="65"/>
        </patternFill>
      </fill>
      <border>
        <top/>
      </border>
    </dxf>
    <dxf>
      <border>
        <bottom style="thin"/>
      </border>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color indexed="9"/>
      </font>
      <fill>
        <patternFill patternType="none">
          <bgColor indexed="65"/>
        </patternFill>
      </fill>
      <border>
        <top/>
      </border>
    </dxf>
    <dxf>
      <font>
        <b/>
        <i val="0"/>
      </font>
      <fill>
        <patternFill>
          <bgColor indexed="55"/>
        </patternFill>
      </fill>
      <border>
        <top style="thin"/>
      </border>
    </dxf>
    <dxf>
      <font>
        <color indexed="9"/>
      </font>
      <fill>
        <patternFill patternType="none">
          <bgColor indexed="65"/>
        </patternFill>
      </fill>
      <border>
        <left/>
        <right/>
        <top/>
        <bottom/>
      </border>
    </dxf>
    <dxf>
      <font>
        <b/>
        <i val="0"/>
        <color indexed="9"/>
      </font>
      <fill>
        <patternFill>
          <bgColor indexed="10"/>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b/>
        <i val="0"/>
        <color indexed="9"/>
      </font>
      <fill>
        <patternFill>
          <bgColor indexed="10"/>
        </patternFill>
      </fill>
    </dxf>
    <dxf>
      <font>
        <color indexed="9"/>
      </font>
      <fill>
        <patternFill patternType="none">
          <bgColor indexed="65"/>
        </patternFill>
      </fill>
    </dxf>
    <dxf>
      <font>
        <b/>
        <i val="0"/>
        <color indexed="9"/>
      </font>
      <fill>
        <patternFill>
          <bgColor indexed="10"/>
        </patternFill>
      </fill>
    </dxf>
    <dxf>
      <font>
        <color indexed="9"/>
      </font>
      <fill>
        <patternFill>
          <bgColor indexed="9"/>
        </patternFill>
      </fill>
    </dxf>
    <dxf>
      <border>
        <top style="thin"/>
      </border>
    </dxf>
    <dxf>
      <fill>
        <patternFill>
          <bgColor indexed="55"/>
        </patternFill>
      </fill>
    </dxf>
    <dxf>
      <font>
        <b/>
        <i val="0"/>
      </font>
      <fill>
        <patternFill>
          <bgColor indexed="55"/>
        </patternFill>
      </fill>
      <border>
        <top style="thin"/>
      </border>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b/>
        <i val="0"/>
        <color indexed="47"/>
      </font>
      <fill>
        <patternFill>
          <bgColor indexed="47"/>
        </patternFill>
      </fill>
    </dxf>
    <dxf>
      <font>
        <b/>
        <i val="0"/>
        <color indexed="55"/>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ill>
        <patternFill patternType="none">
          <bgColor indexed="65"/>
        </patternFill>
      </fill>
    </dxf>
    <dxf>
      <font>
        <color indexed="47"/>
      </font>
      <fill>
        <patternFill>
          <bgColor indexed="47"/>
        </patternFill>
      </fill>
    </dxf>
    <dxf>
      <fill>
        <patternFill patternType="none">
          <bgColor indexed="65"/>
        </patternFill>
      </fill>
    </dxf>
    <dxf>
      <font>
        <color indexed="47"/>
      </font>
      <fill>
        <patternFill>
          <bgColor indexed="47"/>
        </patternFill>
      </fill>
    </dxf>
    <dxf>
      <font>
        <b/>
        <i val="0"/>
        <color indexed="55"/>
      </font>
      <fill>
        <patternFill>
          <bgColor indexed="55"/>
        </patternFill>
      </fill>
    </dxf>
    <dxf>
      <font>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lor indexed="47"/>
      </font>
      <fill>
        <patternFill>
          <bgColor indexed="47"/>
        </patternFill>
      </fill>
    </dxf>
    <dxf>
      <font>
        <b/>
        <i val="0"/>
        <color indexed="55"/>
      </font>
      <fill>
        <patternFill>
          <bgColor indexed="55"/>
        </patternFill>
      </fill>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ill>
        <patternFill patternType="none">
          <bgColor indexed="65"/>
        </patternFill>
      </fill>
    </dxf>
    <dxf>
      <font>
        <b/>
        <i val="0"/>
      </font>
      <fill>
        <patternFill>
          <bgColor indexed="47"/>
        </patternFill>
      </fill>
    </dxf>
    <dxf>
      <font>
        <b/>
        <i val="0"/>
        <u val="single"/>
        <color auto="1"/>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patternType="none">
          <bgColor indexed="65"/>
        </patternFill>
      </fill>
    </dxf>
    <dxf>
      <fill>
        <patternFill>
          <bgColor indexed="43"/>
        </patternFill>
      </fill>
    </dxf>
    <dxf>
      <font>
        <color indexed="9"/>
      </font>
      <fill>
        <patternFill patternType="none">
          <bgColor indexed="65"/>
        </patternFill>
      </fill>
      <border>
        <left/>
        <right/>
        <top/>
        <bottom/>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ont>
        <b/>
        <i val="0"/>
      </font>
      <fill>
        <patternFill>
          <bgColor indexed="47"/>
        </patternFill>
      </fill>
    </dxf>
    <dxf>
      <font>
        <b/>
        <i val="0"/>
      </font>
      <fill>
        <patternFill>
          <bgColor indexed="55"/>
        </patternFill>
      </fill>
      <border>
        <top style="thin"/>
      </border>
    </dxf>
    <dxf>
      <font>
        <b val="0"/>
        <i val="0"/>
        <color auto="1"/>
      </font>
      <fill>
        <patternFill patternType="none">
          <bgColor indexed="65"/>
        </patternFill>
      </fill>
    </dxf>
    <dxf>
      <font>
        <b val="0"/>
        <i val="0"/>
        <name val="Cambria"/>
        <color indexed="47"/>
      </font>
      <fill>
        <patternFill>
          <bgColor indexed="47"/>
        </patternFill>
      </fill>
    </dxf>
    <dxf>
      <font>
        <b val="0"/>
        <i val="0"/>
        <name val="Cambria"/>
        <color indexed="55"/>
      </font>
      <fill>
        <patternFill>
          <bgColor indexed="55"/>
        </patternFill>
      </fill>
      <border>
        <top style="thin"/>
      </border>
    </dxf>
    <dxf>
      <fill>
        <patternFill>
          <bgColor theme="0"/>
        </patternFill>
      </fill>
    </dxf>
    <dxf>
      <font>
        <b/>
        <i val="0"/>
        <name val="Cambria"/>
        <color indexed="47"/>
      </font>
      <fill>
        <patternFill>
          <bgColor indexed="47"/>
        </patternFill>
      </fill>
    </dxf>
    <dxf>
      <font>
        <b/>
        <i val="0"/>
        <name val="Cambria"/>
        <color indexed="55"/>
      </font>
      <fill>
        <patternFill>
          <bgColor indexed="55"/>
        </patternFill>
      </fill>
      <border>
        <top style="thin"/>
      </border>
    </dxf>
    <dxf>
      <font>
        <color indexed="47"/>
      </font>
      <fill>
        <patternFill>
          <bgColor indexed="47"/>
        </patternFill>
      </fill>
    </dxf>
    <dxf>
      <font>
        <b/>
        <i val="0"/>
      </font>
      <fill>
        <patternFill>
          <bgColor indexed="47"/>
        </patternFill>
      </fill>
    </dxf>
    <dxf>
      <font>
        <b/>
        <i val="0"/>
      </font>
      <fill>
        <patternFill>
          <bgColor indexed="55"/>
        </patternFill>
      </fill>
      <border>
        <top style="thin"/>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dxf>
    <dxf>
      <font>
        <color indexed="17"/>
      </font>
      <border>
        <left style="thin"/>
        <right style="thin"/>
        <top style="thin"/>
        <bottom style="thin"/>
      </border>
    </dxf>
    <dxf>
      <font>
        <color indexed="10"/>
      </font>
      <border>
        <left style="thin"/>
        <right style="thin"/>
        <top style="thin"/>
        <bottom style="thin"/>
      </border>
    </dxf>
    <dxf>
      <fill>
        <patternFill>
          <bgColor rgb="FFFFFF9E"/>
        </patternFill>
      </fill>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patternType="none">
          <bgColor indexed="65"/>
        </patternFill>
      </fill>
      <border>
        <left/>
        <right/>
        <top/>
        <bottom/>
      </border>
    </dxf>
    <dxf>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border>
        <left/>
        <right/>
        <top/>
        <bottom/>
      </border>
    </dxf>
    <dxf>
      <fill>
        <patternFill patternType="none">
          <bgColor indexed="65"/>
        </patternFill>
      </fill>
    </dxf>
    <dxf>
      <fill>
        <patternFill patternType="none">
          <bgColor indexed="65"/>
        </patternFill>
      </fill>
    </dxf>
    <dxf>
      <font>
        <color rgb="FFFF0000"/>
      </font>
      <border>
        <left style="thin">
          <color rgb="FF000000"/>
        </left>
        <right style="thin">
          <color rgb="FF000000"/>
        </right>
        <top style="thin"/>
        <bottom style="thin">
          <color rgb="FF000000"/>
        </bottom>
      </border>
    </dxf>
    <dxf>
      <font>
        <color rgb="FF008000"/>
      </font>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
      <font>
        <b/>
        <i val="0"/>
      </font>
      <fill>
        <patternFill>
          <bgColor rgb="FF969696"/>
        </patternFill>
      </fill>
      <border>
        <top style="thin">
          <color rgb="FF000000"/>
        </top>
      </border>
    </dxf>
    <dxf>
      <font>
        <b/>
        <i val="0"/>
        <color rgb="FF969696"/>
      </font>
      <fill>
        <patternFill>
          <bgColor rgb="FF969696"/>
        </patternFill>
      </fill>
      <border>
        <top style="thin">
          <color rgb="FF000000"/>
        </top>
      </border>
    </dxf>
    <dxf>
      <font>
        <b val="0"/>
        <i val="0"/>
        <color rgb="FF969696"/>
      </font>
      <fill>
        <patternFill>
          <bgColor rgb="FF969696"/>
        </patternFill>
      </fill>
      <border>
        <top style="thin">
          <color rgb="FF000000"/>
        </top>
      </border>
    </dxf>
    <dxf>
      <font>
        <b/>
        <i val="0"/>
        <u val="single"/>
        <color auto="1"/>
      </font>
      <fill>
        <patternFill>
          <bgColor rgb="FF969696"/>
        </patternFill>
      </fill>
      <border>
        <top style="thin">
          <color rgb="FF000000"/>
        </top>
      </border>
    </dxf>
    <dxf>
      <border>
        <top style="thin">
          <color rgb="FF000000"/>
        </top>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5.emf" /><Relationship Id="rId5" Type="http://schemas.openxmlformats.org/officeDocument/2006/relationships/image" Target="../media/image9.emf" /><Relationship Id="rId6" Type="http://schemas.openxmlformats.org/officeDocument/2006/relationships/image" Target="../media/image5.emf" /><Relationship Id="rId7" Type="http://schemas.openxmlformats.org/officeDocument/2006/relationships/image" Target="../media/image9.emf" /><Relationship Id="rId8" Type="http://schemas.openxmlformats.org/officeDocument/2006/relationships/image" Target="../media/image5.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9.emf" /><Relationship Id="rId12" Type="http://schemas.openxmlformats.org/officeDocument/2006/relationships/image" Target="../media/image5.emf" /><Relationship Id="rId13" Type="http://schemas.openxmlformats.org/officeDocument/2006/relationships/image" Target="../media/image9.emf" /><Relationship Id="rId1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xdr:nvSpPr>
        <xdr:cNvPr id="1" name="FiltroButton"/>
        <xdr:cNvSpPr txBox="1">
          <a:spLocks noChangeArrowheads="1"/>
        </xdr:cNvSpPr>
      </xdr:nvSpPr>
      <xdr:spPr>
        <a:xfrm>
          <a:off x="7629525" y="885825"/>
          <a:ext cx="1057275" cy="342900"/>
        </a:xfrm>
        <a:prstGeom prst="rect">
          <a:avLst/>
        </a:prstGeom>
        <a:solidFill>
          <a:srgbClr val="E3E3E3"/>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Adicionar BDI</a:t>
          </a:r>
        </a:p>
      </xdr:txBody>
    </xdr:sp>
    <xdr:clientData fPrintsWithSheet="0"/>
  </xdr:twoCellAnchor>
  <xdr:oneCellAnchor>
    <xdr:from>
      <xdr:col>8</xdr:col>
      <xdr:colOff>28575</xdr:colOff>
      <xdr:row>0</xdr:row>
      <xdr:rowOff>19050</xdr:rowOff>
    </xdr:from>
    <xdr:ext cx="1790700" cy="381000"/>
    <xdr:sp>
      <xdr:nvSpPr>
        <xdr:cNvPr id="2" name="Object 476" hidden="1"/>
        <xdr:cNvSpPr>
          <a:spLocks/>
        </xdr:cNvSpPr>
      </xdr:nvSpPr>
      <xdr:spPr>
        <a:xfrm>
          <a:off x="28575" y="19050"/>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3" name="Picture 476"/>
        <xdr:cNvPicPr preferRelativeResize="1">
          <a:picLocks noChangeAspect="1"/>
        </xdr:cNvPicPr>
      </xdr:nvPicPr>
      <xdr:blipFill>
        <a:blip r:embed="rId1"/>
        <a:stretch>
          <a:fillRect/>
        </a:stretch>
      </xdr:blipFill>
      <xdr:spPr>
        <a:xfrm>
          <a:off x="28575" y="19050"/>
          <a:ext cx="17907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00225" cy="381000"/>
    <xdr:sp>
      <xdr:nvSpPr>
        <xdr:cNvPr id="1" name="Object 5675" hidden="1"/>
        <xdr:cNvSpPr>
          <a:spLocks/>
        </xdr:cNvSpPr>
      </xdr:nvSpPr>
      <xdr:spPr>
        <a:xfrm>
          <a:off x="638175" y="19050"/>
          <a:ext cx="18002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57150</xdr:colOff>
      <xdr:row>0</xdr:row>
      <xdr:rowOff>19050</xdr:rowOff>
    </xdr:from>
    <xdr:to>
      <xdr:col>11</xdr:col>
      <xdr:colOff>1009650</xdr:colOff>
      <xdr:row>2</xdr:row>
      <xdr:rowOff>76200</xdr:rowOff>
    </xdr:to>
    <xdr:pic>
      <xdr:nvPicPr>
        <xdr:cNvPr id="2" name="Picture 5675"/>
        <xdr:cNvPicPr preferRelativeResize="1">
          <a:picLocks noChangeAspect="1"/>
        </xdr:cNvPicPr>
      </xdr:nvPicPr>
      <xdr:blipFill>
        <a:blip r:embed="rId1"/>
        <a:stretch>
          <a:fillRect/>
        </a:stretch>
      </xdr:blipFill>
      <xdr:spPr>
        <a:xfrm>
          <a:off x="638175" y="19050"/>
          <a:ext cx="18002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790700" cy="381000"/>
    <xdr:sp>
      <xdr:nvSpPr>
        <xdr:cNvPr id="1" name="Object 13472" hidden="1"/>
        <xdr:cNvSpPr>
          <a:spLocks/>
        </xdr:cNvSpPr>
      </xdr:nvSpPr>
      <xdr:spPr>
        <a:xfrm>
          <a:off x="876300" y="28575"/>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28575</xdr:colOff>
      <xdr:row>8</xdr:row>
      <xdr:rowOff>123825</xdr:rowOff>
    </xdr:from>
    <xdr:to>
      <xdr:col>4</xdr:col>
      <xdr:colOff>800100</xdr:colOff>
      <xdr:row>8</xdr:row>
      <xdr:rowOff>638175</xdr:rowOff>
    </xdr:to>
    <xdr:sp>
      <xdr:nvSpPr>
        <xdr:cNvPr id="2" name="AutoShape 68" descr="Frente de Obra:"/>
        <xdr:cNvSpPr>
          <a:spLocks/>
        </xdr:cNvSpPr>
      </xdr:nvSpPr>
      <xdr:spPr>
        <a:xfrm>
          <a:off x="5629275" y="2095500"/>
          <a:ext cx="1285875" cy="514350"/>
        </a:xfrm>
        <a:prstGeom prst="rightArrow">
          <a:avLst>
            <a:gd name="adj" fmla="val 27120"/>
          </a:avLst>
        </a:prstGeom>
        <a:solidFill>
          <a:srgbClr val="CCFFCC"/>
        </a:solidFill>
        <a:ln w="9525" cmpd="sng">
          <a:solidFill>
            <a:srgbClr val="000000"/>
          </a:solidFill>
          <a:headEnd type="none"/>
          <a:tailEnd type="none"/>
        </a:ln>
      </xdr:spPr>
      <xdr:txBody>
        <a:bodyPr vertOverflow="clip" wrap="square" lIns="27432" tIns="22860" rIns="27432" bIns="22860"/>
        <a:p>
          <a:pPr algn="l">
            <a:defRPr/>
          </a:pPr>
          <a:r>
            <a:rPr lang="en-US" cap="none" sz="1000" b="1" i="0" u="none" baseline="0">
              <a:solidFill>
                <a:srgbClr val="000000"/>
              </a:solidFill>
              <a:latin typeface="Arial"/>
              <a:ea typeface="Arial"/>
              <a:cs typeface="Arial"/>
            </a:rPr>
            <a:t>Frente de Obra:</a:t>
          </a:r>
        </a:p>
      </xdr:txBody>
    </xdr:sp>
    <xdr:clientData/>
  </xdr:twoCellAnchor>
  <xdr:twoCellAnchor editAs="oneCell">
    <xdr:from>
      <xdr:col>1</xdr:col>
      <xdr:colOff>28575</xdr:colOff>
      <xdr:row>0</xdr:row>
      <xdr:rowOff>28575</xdr:rowOff>
    </xdr:from>
    <xdr:to>
      <xdr:col>2</xdr:col>
      <xdr:colOff>1104900</xdr:colOff>
      <xdr:row>1</xdr:row>
      <xdr:rowOff>190500</xdr:rowOff>
    </xdr:to>
    <xdr:pic>
      <xdr:nvPicPr>
        <xdr:cNvPr id="3" name="Picture 13472"/>
        <xdr:cNvPicPr preferRelativeResize="1">
          <a:picLocks noChangeAspect="1"/>
        </xdr:cNvPicPr>
      </xdr:nvPicPr>
      <xdr:blipFill>
        <a:blip r:embed="rId1"/>
        <a:stretch>
          <a:fillRect/>
        </a:stretch>
      </xdr:blipFill>
      <xdr:spPr>
        <a:xfrm>
          <a:off x="876300" y="28575"/>
          <a:ext cx="17907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790700" cy="381000"/>
    <xdr:sp>
      <xdr:nvSpPr>
        <xdr:cNvPr id="1" name="Object 125890" hidden="1"/>
        <xdr:cNvSpPr>
          <a:spLocks/>
        </xdr:cNvSpPr>
      </xdr:nvSpPr>
      <xdr:spPr>
        <a:xfrm>
          <a:off x="57150" y="38100"/>
          <a:ext cx="17907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628650</xdr:colOff>
      <xdr:row>7</xdr:row>
      <xdr:rowOff>209550</xdr:rowOff>
    </xdr:from>
    <xdr:ext cx="1781175" cy="342900"/>
    <xdr:sp macro="[0]!EditarCRONO">
      <xdr:nvSpPr>
        <xdr:cNvPr id="2" name="AddCFF"/>
        <xdr:cNvSpPr txBox="1">
          <a:spLocks noChangeArrowheads="1"/>
        </xdr:cNvSpPr>
      </xdr:nvSpPr>
      <xdr:spPr>
        <a:xfrm>
          <a:off x="628650" y="1914525"/>
          <a:ext cx="1781175" cy="342900"/>
        </a:xfrm>
        <a:prstGeom prst="rect">
          <a:avLst/>
        </a:prstGeom>
        <a:solidFill>
          <a:srgbClr val="99FF99"/>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1133475</xdr:colOff>
      <xdr:row>2</xdr:row>
      <xdr:rowOff>95250</xdr:rowOff>
    </xdr:to>
    <xdr:pic>
      <xdr:nvPicPr>
        <xdr:cNvPr id="3" name="Picture 125890"/>
        <xdr:cNvPicPr preferRelativeResize="1">
          <a:picLocks noChangeAspect="1"/>
        </xdr:cNvPicPr>
      </xdr:nvPicPr>
      <xdr:blipFill>
        <a:blip r:embed="rId1"/>
        <a:stretch>
          <a:fillRect/>
        </a:stretch>
      </xdr:blipFill>
      <xdr:spPr>
        <a:xfrm>
          <a:off x="57150" y="38100"/>
          <a:ext cx="17907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27476007%20PO%20-%20RUAS%20LATICINIO%203%20-%20Rev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DOS"/>
      <sheetName val="BDI (1)"/>
      <sheetName val="PO"/>
      <sheetName val="PLQ"/>
      <sheetName val="CFF"/>
    </sheetNames>
    <sheetDataSet>
      <sheetData sheetId="2">
        <row r="3">
          <cell r="X3" t="b">
            <v>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Plan3">
    <tabColor rgb="FFFFC000"/>
    <pageSetUpPr fitToPage="1"/>
  </sheetPr>
  <dimension ref="A1:Y257"/>
  <sheetViews>
    <sheetView showGridLines="0" zoomScaleSheetLayoutView="100" zoomScalePageLayoutView="0" workbookViewId="0" topLeftCell="A25">
      <selection activeCell="C38" sqref="C38"/>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58" t="s">
        <v>2</v>
      </c>
      <c r="C1" s="258"/>
      <c r="D1" s="258"/>
      <c r="E1" s="258"/>
      <c r="F1" s="258"/>
      <c r="G1" s="258"/>
      <c r="H1" s="258"/>
      <c r="I1" s="258"/>
      <c r="J1" s="258"/>
      <c r="K1" s="258"/>
      <c r="L1" s="258"/>
      <c r="M1" s="258"/>
      <c r="N1" s="258"/>
      <c r="O1" s="258"/>
      <c r="P1" s="258"/>
      <c r="Q1" s="258"/>
      <c r="R1" s="258"/>
      <c r="S1" s="258"/>
      <c r="T1" s="258"/>
      <c r="U1" s="258"/>
      <c r="V1" s="258"/>
      <c r="W1" s="258"/>
      <c r="X1" s="259"/>
    </row>
    <row r="2" spans="1:24" ht="13.5" customHeight="1">
      <c r="A2" s="105" t="s">
        <v>229</v>
      </c>
      <c r="B2" s="260"/>
      <c r="C2" s="260"/>
      <c r="D2" s="260"/>
      <c r="E2" s="260"/>
      <c r="F2" s="260"/>
      <c r="G2" s="260"/>
      <c r="H2" s="260"/>
      <c r="I2" s="260"/>
      <c r="J2" s="260"/>
      <c r="K2" s="260"/>
      <c r="L2" s="260"/>
      <c r="M2" s="260"/>
      <c r="N2" s="260"/>
      <c r="O2" s="260"/>
      <c r="P2" s="260"/>
      <c r="Q2" s="260"/>
      <c r="R2" s="260"/>
      <c r="S2" s="260"/>
      <c r="T2" s="260"/>
      <c r="U2" s="260"/>
      <c r="V2" s="260"/>
      <c r="W2" s="260"/>
      <c r="X2" s="261"/>
    </row>
    <row r="3" spans="1:8" ht="13.5" customHeight="1">
      <c r="A3" s="1"/>
      <c r="B3" s="1"/>
      <c r="F3" s="1"/>
      <c r="G3" s="1"/>
      <c r="H3" s="1"/>
    </row>
    <row r="4" spans="1:24" s="21" customFormat="1" ht="12.75" customHeight="1">
      <c r="A4" s="270" t="s">
        <v>169</v>
      </c>
      <c r="B4" s="270"/>
      <c r="C4" s="270"/>
      <c r="D4" s="270"/>
      <c r="E4" s="270"/>
      <c r="F4" s="270"/>
      <c r="G4" s="270"/>
      <c r="H4" s="270"/>
      <c r="I4" s="270"/>
      <c r="J4" s="270"/>
      <c r="K4" s="270"/>
      <c r="L4" s="270"/>
      <c r="M4" s="270"/>
      <c r="N4" s="270"/>
      <c r="O4" s="270"/>
      <c r="P4" s="270"/>
      <c r="Q4" s="270"/>
      <c r="R4" s="270"/>
      <c r="S4" s="270"/>
      <c r="T4" s="270"/>
      <c r="U4" s="270"/>
      <c r="V4" s="270"/>
      <c r="W4" s="270"/>
      <c r="X4" s="270"/>
    </row>
    <row r="5" spans="1:8" s="21" customFormat="1" ht="12.75">
      <c r="A5" s="22"/>
      <c r="B5" s="22"/>
      <c r="F5" s="23"/>
      <c r="G5" s="23"/>
      <c r="H5" s="23"/>
    </row>
    <row r="6" spans="1:24" s="22" customFormat="1" ht="24.75" customHeight="1">
      <c r="A6" s="271" t="s">
        <v>180</v>
      </c>
      <c r="B6" s="272"/>
      <c r="C6" s="272"/>
      <c r="D6" s="272"/>
      <c r="E6" s="272"/>
      <c r="F6" s="272"/>
      <c r="G6" s="272"/>
      <c r="H6" s="272"/>
      <c r="I6" s="272"/>
      <c r="J6" s="272"/>
      <c r="K6" s="272"/>
      <c r="L6" s="272"/>
      <c r="M6" s="272"/>
      <c r="N6" s="272"/>
      <c r="O6" s="272"/>
      <c r="P6" s="272"/>
      <c r="Q6" s="272"/>
      <c r="R6" s="272"/>
      <c r="S6" s="272"/>
      <c r="T6" s="272"/>
      <c r="U6" s="272"/>
      <c r="V6" s="272"/>
      <c r="W6" s="272"/>
      <c r="X6" s="272"/>
    </row>
    <row r="7" spans="1:8" s="21" customFormat="1" ht="12.75" customHeight="1">
      <c r="A7" s="22"/>
      <c r="B7" s="22"/>
      <c r="F7" s="23"/>
      <c r="G7" s="23"/>
      <c r="H7" s="23"/>
    </row>
    <row r="8" spans="1:25" s="21" customFormat="1" ht="12.75" customHeight="1">
      <c r="A8" s="273" t="s">
        <v>23</v>
      </c>
      <c r="B8" s="273"/>
      <c r="C8" s="273"/>
      <c r="D8" s="273"/>
      <c r="E8" s="273"/>
      <c r="F8" s="273"/>
      <c r="G8" s="273"/>
      <c r="H8" s="273"/>
      <c r="I8" s="273"/>
      <c r="J8" s="273"/>
      <c r="K8" s="273"/>
      <c r="L8" s="273"/>
      <c r="M8" s="273"/>
      <c r="N8" s="273"/>
      <c r="O8" s="273"/>
      <c r="P8" s="273"/>
      <c r="Q8" s="273"/>
      <c r="R8" s="273"/>
      <c r="S8" s="273"/>
      <c r="T8" s="273"/>
      <c r="U8" s="273"/>
      <c r="V8" s="273"/>
      <c r="W8" s="273"/>
      <c r="X8" s="273"/>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75" t="s">
        <v>170</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75" customHeight="1">
      <c r="A12" s="275" t="s">
        <v>1</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row>
    <row r="13" spans="1:8" s="21" customFormat="1" ht="12.75">
      <c r="A13" s="22"/>
      <c r="B13" s="22"/>
      <c r="F13" s="23"/>
      <c r="G13" s="23"/>
      <c r="H13" s="23"/>
    </row>
    <row r="14" spans="1:24" s="21" customFormat="1" ht="12.75">
      <c r="A14" s="274" t="s">
        <v>24</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row>
    <row r="15" spans="1:8" s="21" customFormat="1" ht="12.75">
      <c r="A15" s="22"/>
      <c r="B15" s="22"/>
      <c r="F15" s="23"/>
      <c r="G15" s="23"/>
      <c r="H15" s="23"/>
    </row>
    <row r="16" spans="1:24" s="21" customFormat="1" ht="12.75">
      <c r="A16" s="242" t="s">
        <v>187</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44" t="s">
        <v>188</v>
      </c>
      <c r="B18" s="244"/>
      <c r="C18" s="245"/>
      <c r="D18" s="245"/>
      <c r="E18" s="245"/>
      <c r="F18" s="245"/>
      <c r="G18" s="245"/>
      <c r="H18" s="245"/>
      <c r="I18" s="245"/>
      <c r="J18" s="245"/>
      <c r="K18" s="245"/>
      <c r="L18" s="245"/>
      <c r="M18" s="245"/>
      <c r="N18" s="245"/>
      <c r="O18" s="245"/>
      <c r="P18" s="245"/>
      <c r="Q18" s="245"/>
      <c r="R18" s="245"/>
      <c r="S18" s="245"/>
      <c r="T18" s="245"/>
      <c r="U18" s="245"/>
      <c r="V18" s="245"/>
      <c r="W18" s="245"/>
      <c r="X18" s="245"/>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42" t="s">
        <v>190</v>
      </c>
      <c r="B22" s="243"/>
      <c r="C22" s="243"/>
      <c r="D22" s="243"/>
      <c r="E22" s="243"/>
      <c r="F22" s="243"/>
      <c r="G22" s="243"/>
      <c r="H22" s="243"/>
      <c r="I22" s="243"/>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44" t="s">
        <v>191</v>
      </c>
      <c r="B24" s="244"/>
      <c r="C24" s="245"/>
      <c r="D24" s="245"/>
      <c r="E24" s="245"/>
      <c r="F24" s="245"/>
      <c r="G24" s="245"/>
      <c r="H24" s="245"/>
      <c r="I24" s="245"/>
      <c r="J24" s="245"/>
      <c r="K24" s="245"/>
      <c r="L24" s="245"/>
      <c r="M24" s="245"/>
      <c r="N24" s="245"/>
      <c r="O24" s="245"/>
      <c r="P24" s="245"/>
      <c r="Q24" s="245"/>
      <c r="R24" s="245"/>
      <c r="S24" s="245"/>
      <c r="T24" s="245"/>
      <c r="U24" s="245"/>
      <c r="V24" s="245"/>
      <c r="W24" s="245"/>
      <c r="X24" s="245"/>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40" t="s">
        <v>192</v>
      </c>
      <c r="B26" s="240"/>
      <c r="C26" s="241"/>
      <c r="D26" s="241"/>
      <c r="E26" s="241"/>
      <c r="F26" s="241"/>
      <c r="G26" s="241"/>
      <c r="H26" s="241"/>
      <c r="I26" s="241"/>
      <c r="J26" s="241"/>
      <c r="K26" s="241"/>
      <c r="L26" s="241"/>
      <c r="M26" s="241"/>
      <c r="N26" s="241"/>
      <c r="O26" s="241"/>
      <c r="P26" s="241"/>
      <c r="Q26" s="241"/>
      <c r="R26" s="241"/>
      <c r="S26" s="241"/>
      <c r="T26" s="241"/>
      <c r="U26" s="241"/>
      <c r="V26" s="241"/>
      <c r="W26" s="241"/>
      <c r="X26" s="241"/>
    </row>
    <row r="27" spans="1:8" s="21" customFormat="1" ht="6" customHeight="1">
      <c r="A27" s="25"/>
      <c r="B27" s="25"/>
      <c r="F27" s="23"/>
      <c r="G27" s="23"/>
      <c r="H27" s="23"/>
    </row>
    <row r="28" spans="1:24" ht="12.75" customHeight="1">
      <c r="A28" s="238" t="s">
        <v>178</v>
      </c>
      <c r="B28" s="249"/>
      <c r="C28" s="238" t="s">
        <v>171</v>
      </c>
      <c r="D28" s="239"/>
      <c r="E28" s="249"/>
      <c r="F28" s="238" t="s">
        <v>172</v>
      </c>
      <c r="G28" s="239"/>
      <c r="H28" s="239"/>
      <c r="I28" s="249"/>
      <c r="J28" s="238" t="s">
        <v>173</v>
      </c>
      <c r="K28" s="239"/>
      <c r="L28" s="239"/>
      <c r="M28" s="239"/>
      <c r="N28" s="239"/>
      <c r="O28" s="249"/>
      <c r="P28" s="238" t="s">
        <v>0</v>
      </c>
      <c r="Q28" s="239"/>
      <c r="R28" s="239"/>
      <c r="S28" s="239"/>
      <c r="T28" s="239"/>
      <c r="U28" s="239"/>
      <c r="V28" s="239"/>
      <c r="W28" s="239"/>
      <c r="X28" s="249"/>
    </row>
    <row r="29" spans="1:24" ht="12.75" customHeight="1">
      <c r="A29" s="233" t="s">
        <v>251</v>
      </c>
      <c r="B29" s="250"/>
      <c r="C29" s="233" t="s">
        <v>252</v>
      </c>
      <c r="D29" s="234"/>
      <c r="E29" s="235"/>
      <c r="F29" s="233" t="s">
        <v>253</v>
      </c>
      <c r="G29" s="307"/>
      <c r="H29" s="307"/>
      <c r="I29" s="250"/>
      <c r="J29" s="233" t="s">
        <v>254</v>
      </c>
      <c r="K29" s="307"/>
      <c r="L29" s="307"/>
      <c r="M29" s="307"/>
      <c r="N29" s="307"/>
      <c r="O29" s="250"/>
      <c r="P29" s="233" t="s">
        <v>249</v>
      </c>
      <c r="Q29" s="307"/>
      <c r="R29" s="307"/>
      <c r="S29" s="307"/>
      <c r="T29" s="307"/>
      <c r="U29" s="307"/>
      <c r="V29" s="307"/>
      <c r="W29" s="307"/>
      <c r="X29" s="250"/>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38" t="s">
        <v>174</v>
      </c>
      <c r="B31" s="239"/>
      <c r="C31" s="239"/>
      <c r="D31" s="239"/>
      <c r="E31" s="239"/>
      <c r="F31" s="249"/>
      <c r="G31" s="238" t="s">
        <v>175</v>
      </c>
      <c r="H31" s="239"/>
      <c r="I31" s="239"/>
      <c r="J31" s="249"/>
      <c r="K31" s="238" t="s">
        <v>176</v>
      </c>
      <c r="L31" s="239"/>
      <c r="M31" s="239"/>
      <c r="N31" s="239"/>
      <c r="O31" s="239"/>
      <c r="P31" s="249"/>
      <c r="Q31" s="238" t="s">
        <v>181</v>
      </c>
      <c r="R31" s="239"/>
      <c r="S31" s="239"/>
      <c r="T31" s="239"/>
      <c r="U31" s="239"/>
      <c r="V31" s="239"/>
      <c r="W31" s="239"/>
      <c r="X31" s="249"/>
    </row>
    <row r="32" spans="1:24" ht="12.75">
      <c r="A32" s="277" t="s">
        <v>255</v>
      </c>
      <c r="B32" s="308"/>
      <c r="C32" s="308"/>
      <c r="D32" s="308"/>
      <c r="E32" s="308"/>
      <c r="F32" s="309"/>
      <c r="G32" s="233" t="s">
        <v>230</v>
      </c>
      <c r="H32" s="234"/>
      <c r="I32" s="234"/>
      <c r="J32" s="235"/>
      <c r="K32" s="233" t="s">
        <v>243</v>
      </c>
      <c r="L32" s="307"/>
      <c r="M32" s="307"/>
      <c r="N32" s="307"/>
      <c r="O32" s="307"/>
      <c r="P32" s="250"/>
      <c r="Q32" s="233" t="s">
        <v>250</v>
      </c>
      <c r="R32" s="307"/>
      <c r="S32" s="307"/>
      <c r="T32" s="307"/>
      <c r="U32" s="307"/>
      <c r="V32" s="307"/>
      <c r="W32" s="307"/>
      <c r="X32" s="250"/>
    </row>
    <row r="33" spans="1:8" s="21" customFormat="1" ht="9" customHeight="1">
      <c r="A33" s="22"/>
      <c r="B33" s="22"/>
      <c r="F33" s="23"/>
      <c r="G33" s="23"/>
      <c r="H33" s="23"/>
    </row>
    <row r="34" s="27" customFormat="1" ht="12.75"/>
    <row r="35" spans="1:24" s="21" customFormat="1" ht="12.75" customHeight="1">
      <c r="A35" s="240" t="s">
        <v>193</v>
      </c>
      <c r="B35" s="240"/>
      <c r="C35" s="241"/>
      <c r="D35" s="241"/>
      <c r="E35" s="241"/>
      <c r="F35" s="241"/>
      <c r="G35" s="241"/>
      <c r="H35" s="241"/>
      <c r="I35" s="241"/>
      <c r="J35" s="241"/>
      <c r="K35" s="241"/>
      <c r="L35" s="241"/>
      <c r="M35" s="241"/>
      <c r="N35" s="241"/>
      <c r="O35" s="241"/>
      <c r="P35" s="241"/>
      <c r="Q35" s="241"/>
      <c r="R35" s="241"/>
      <c r="S35" s="241"/>
      <c r="T35" s="241"/>
      <c r="U35" s="241"/>
      <c r="V35" s="241"/>
      <c r="W35" s="241"/>
      <c r="X35" s="241"/>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38" t="s">
        <v>16</v>
      </c>
      <c r="B37" s="249"/>
      <c r="C37" s="92" t="s">
        <v>91</v>
      </c>
      <c r="D37" s="238" t="s">
        <v>14</v>
      </c>
      <c r="E37" s="239"/>
      <c r="F37" s="249"/>
      <c r="G37" s="238" t="s">
        <v>12</v>
      </c>
      <c r="H37" s="239"/>
      <c r="I37" s="239"/>
      <c r="J37" s="239"/>
      <c r="K37" s="239"/>
      <c r="L37" s="239"/>
      <c r="M37" s="239"/>
      <c r="N37" s="239"/>
      <c r="O37" s="239"/>
      <c r="P37" s="239"/>
      <c r="Q37" s="239"/>
      <c r="R37" s="239"/>
      <c r="S37" s="249"/>
      <c r="T37" s="93" t="s">
        <v>7</v>
      </c>
      <c r="U37" s="93" t="s">
        <v>8</v>
      </c>
      <c r="V37" s="93" t="s">
        <v>9</v>
      </c>
      <c r="W37" s="93" t="s">
        <v>10</v>
      </c>
      <c r="X37" s="93" t="s">
        <v>11</v>
      </c>
    </row>
    <row r="38" spans="1:24" s="21" customFormat="1" ht="12.75" customHeight="1">
      <c r="A38" s="254">
        <v>43739</v>
      </c>
      <c r="B38" s="255"/>
      <c r="C38" s="91" t="s">
        <v>256</v>
      </c>
      <c r="D38" s="233" t="s">
        <v>66</v>
      </c>
      <c r="E38" s="234"/>
      <c r="F38" s="235"/>
      <c r="G38" s="233" t="s">
        <v>233</v>
      </c>
      <c r="H38" s="234"/>
      <c r="I38" s="234"/>
      <c r="J38" s="234"/>
      <c r="K38" s="234"/>
      <c r="L38" s="234"/>
      <c r="M38" s="234"/>
      <c r="N38" s="234"/>
      <c r="O38" s="234"/>
      <c r="P38" s="234"/>
      <c r="Q38" s="234"/>
      <c r="R38" s="234"/>
      <c r="S38" s="235"/>
      <c r="T38" s="95">
        <f ca="1">IF(ISERROR(INDIRECT("'BDI ("&amp;RIGHT(T37,1)&amp;")'!N27")),"",INDIRECT("'BDI ("&amp;RIGHT(T37,1)&amp;")'!N27"))</f>
        <v>0.285</v>
      </c>
      <c r="U38" s="96">
        <f ca="1">IF(ISERROR(INDIRECT("'BDI ("&amp;RIGHT(U37,1)&amp;")'!N27")),"",INDIRECT("'BDI ("&amp;RIGHT(U37,1)&amp;")'!N27"))</f>
      </c>
      <c r="V38" s="96">
        <f ca="1">IF(ISERROR(INDIRECT("'BDI ("&amp;RIGHT(V37,1)&amp;")'!N27")),"",INDIRECT("'BDI ("&amp;RIGHT(V37,1)&amp;")'!N27"))</f>
      </c>
      <c r="W38" s="96">
        <f ca="1">IF(ISERROR(INDIRECT("'BDI ("&amp;RIGHT(W37,1)&amp;")'!N27")),"",INDIRECT("'BDI ("&amp;RIGHT(W37,1)&amp;")'!N27"))</f>
      </c>
      <c r="X38" s="96">
        <f ca="1">IF(ISERROR(INDIRECT("'BDI ("&amp;RIGHT(X37,1)&amp;")'!N27")),"",INDIRECT("'BDI ("&amp;RIGHT(X37,1)&amp;")'!N27"))</f>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40" t="s">
        <v>163</v>
      </c>
      <c r="B40" s="240"/>
      <c r="C40" s="241"/>
      <c r="D40" s="241"/>
      <c r="E40" s="241"/>
      <c r="F40" s="241"/>
      <c r="G40" s="241"/>
      <c r="H40" s="241"/>
      <c r="I40" s="241"/>
      <c r="J40" s="241"/>
      <c r="K40" s="241"/>
      <c r="L40" s="241"/>
      <c r="M40" s="241"/>
      <c r="N40" s="241"/>
      <c r="O40" s="241"/>
      <c r="P40" s="241"/>
      <c r="Q40" s="241"/>
      <c r="R40" s="241"/>
      <c r="S40" s="241"/>
      <c r="T40" s="241"/>
      <c r="U40" s="241"/>
      <c r="V40" s="241"/>
      <c r="W40" s="241"/>
      <c r="X40" s="241"/>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38" t="s">
        <v>87</v>
      </c>
      <c r="B42" s="249"/>
      <c r="C42" s="238" t="s">
        <v>112</v>
      </c>
      <c r="D42" s="239"/>
      <c r="E42" s="239"/>
      <c r="F42" s="239"/>
      <c r="G42" s="239"/>
      <c r="H42" s="238" t="s">
        <v>16</v>
      </c>
      <c r="I42" s="239"/>
      <c r="J42" s="28" t="s">
        <v>91</v>
      </c>
      <c r="K42" s="238" t="s">
        <v>88</v>
      </c>
      <c r="L42" s="239"/>
      <c r="M42" s="249"/>
      <c r="N42" s="28" t="s">
        <v>92</v>
      </c>
      <c r="O42" s="238" t="s">
        <v>93</v>
      </c>
      <c r="P42" s="239"/>
      <c r="Q42" s="239"/>
      <c r="R42" s="239"/>
      <c r="S42" s="239"/>
      <c r="T42" s="249"/>
      <c r="U42" s="256" t="s">
        <v>89</v>
      </c>
      <c r="V42" s="257"/>
      <c r="W42" s="256" t="s">
        <v>90</v>
      </c>
      <c r="X42" s="257"/>
    </row>
    <row r="43" spans="1:24" s="21" customFormat="1" ht="12.75" customHeight="1">
      <c r="A43" s="277"/>
      <c r="B43" s="278"/>
      <c r="C43" s="233"/>
      <c r="D43" s="234"/>
      <c r="E43" s="234"/>
      <c r="F43" s="234"/>
      <c r="G43" s="234"/>
      <c r="H43" s="254"/>
      <c r="I43" s="255"/>
      <c r="J43" s="88"/>
      <c r="K43" s="310"/>
      <c r="L43" s="311"/>
      <c r="M43" s="312"/>
      <c r="N43" s="104"/>
      <c r="O43" s="265"/>
      <c r="P43" s="266"/>
      <c r="Q43" s="266"/>
      <c r="R43" s="267"/>
      <c r="S43" s="267"/>
      <c r="T43" s="268"/>
      <c r="U43" s="263"/>
      <c r="V43" s="269"/>
      <c r="W43" s="263"/>
      <c r="X43" s="264"/>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40" t="s">
        <v>194</v>
      </c>
      <c r="B45" s="240"/>
      <c r="C45" s="241"/>
      <c r="D45" s="241"/>
      <c r="E45" s="241"/>
      <c r="F45" s="241"/>
      <c r="G45" s="241"/>
      <c r="H45" s="241"/>
      <c r="I45" s="241"/>
      <c r="J45" s="241"/>
      <c r="K45" s="241"/>
      <c r="L45" s="241"/>
      <c r="M45" s="241"/>
      <c r="N45" s="241"/>
      <c r="O45" s="241"/>
      <c r="P45" s="241"/>
      <c r="Q45" s="241"/>
      <c r="R45" s="241"/>
      <c r="S45" s="241"/>
      <c r="T45" s="241"/>
      <c r="U45" s="241"/>
      <c r="V45" s="241"/>
      <c r="W45" s="241"/>
      <c r="X45" s="241"/>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91">
        <v>43983</v>
      </c>
      <c r="B48" s="292"/>
      <c r="C48" s="293"/>
      <c r="E48" s="37"/>
    </row>
    <row r="49" spans="1:8" s="21" customFormat="1" ht="12.75">
      <c r="A49" s="22"/>
      <c r="B49" s="22"/>
      <c r="F49" s="33"/>
      <c r="G49" s="34"/>
      <c r="H49" s="35"/>
    </row>
    <row r="50" spans="1:24" s="21" customFormat="1" ht="12.75">
      <c r="A50" s="240" t="s">
        <v>195</v>
      </c>
      <c r="B50" s="240"/>
      <c r="C50" s="241"/>
      <c r="D50" s="241"/>
      <c r="E50" s="241"/>
      <c r="F50" s="241"/>
      <c r="G50" s="241"/>
      <c r="H50" s="241"/>
      <c r="I50" s="241"/>
      <c r="J50" s="241"/>
      <c r="K50" s="241"/>
      <c r="L50" s="241"/>
      <c r="M50" s="241"/>
      <c r="N50" s="241"/>
      <c r="O50" s="241"/>
      <c r="P50" s="241"/>
      <c r="Q50" s="241"/>
      <c r="R50" s="241"/>
      <c r="S50" s="241"/>
      <c r="T50" s="241"/>
      <c r="U50" s="241"/>
      <c r="V50" s="241"/>
      <c r="W50" s="241"/>
      <c r="X50" s="241"/>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104</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141</v>
      </c>
      <c r="B54" s="294"/>
      <c r="C54" s="295"/>
      <c r="D54" s="295"/>
      <c r="E54" s="295"/>
      <c r="F54" s="33"/>
      <c r="G54" s="101" t="s">
        <v>141</v>
      </c>
      <c r="H54" s="295"/>
      <c r="I54" s="295"/>
      <c r="J54" s="295"/>
      <c r="K54" s="295"/>
      <c r="L54" s="2"/>
      <c r="M54"/>
      <c r="N54"/>
      <c r="O54"/>
      <c r="P54"/>
      <c r="Q54"/>
      <c r="R54"/>
      <c r="S54"/>
      <c r="T54"/>
      <c r="U54"/>
      <c r="V54"/>
      <c r="W54"/>
      <c r="X54"/>
    </row>
    <row r="55" spans="1:24" s="21" customFormat="1" ht="12.75">
      <c r="A55" s="101" t="str">
        <f>IF(OR(TipoOrçamento="BASE",TipoOrçamento="REPROGRAMADONPL"),"Título:","Cargo:")</f>
        <v>Cargo:</v>
      </c>
      <c r="B55" s="294"/>
      <c r="C55" s="295"/>
      <c r="D55" s="295"/>
      <c r="E55" s="295"/>
      <c r="F55" s="33"/>
      <c r="G55" s="101" t="str">
        <f>A55</f>
        <v>Cargo:</v>
      </c>
      <c r="H55" s="295"/>
      <c r="I55" s="295"/>
      <c r="J55" s="295"/>
      <c r="K55" s="295"/>
      <c r="L55" s="2"/>
      <c r="M55"/>
      <c r="N55"/>
      <c r="O55"/>
      <c r="P55"/>
      <c r="Q55"/>
      <c r="R55"/>
      <c r="S55"/>
      <c r="T55"/>
      <c r="U55"/>
      <c r="V55"/>
      <c r="W55"/>
      <c r="X55"/>
    </row>
    <row r="56" spans="1:24" s="21" customFormat="1" ht="12.75">
      <c r="A56" s="101" t="str">
        <f>IF(OR(TipoOrçamento="BASE",TipoOrçamento="REPROGRAMADONPL"),"CREA/CAU:","Empresa:")</f>
        <v>Empresa:</v>
      </c>
      <c r="B56" s="276"/>
      <c r="C56" s="262"/>
      <c r="D56" s="262"/>
      <c r="E56" s="262"/>
      <c r="F56" s="33"/>
      <c r="G56" s="101" t="str">
        <f>A56</f>
        <v>Empresa:</v>
      </c>
      <c r="H56" s="262"/>
      <c r="I56" s="262"/>
      <c r="J56" s="262"/>
      <c r="K56" s="262"/>
      <c r="L56" s="2"/>
      <c r="M56"/>
      <c r="N56"/>
      <c r="O56"/>
      <c r="P56"/>
      <c r="Q56"/>
      <c r="R56"/>
      <c r="S56"/>
      <c r="T56"/>
      <c r="U56"/>
      <c r="V56"/>
      <c r="W56"/>
      <c r="X56"/>
    </row>
    <row r="57" spans="1:24" s="21" customFormat="1" ht="12.75">
      <c r="A57" s="101" t="str">
        <f>IF(OR(TipoOrçamento="BASE",TipoOrçamento="REPROGRAMADONPL"),"ART/RRT:","CNPJ:")</f>
        <v>CNPJ:</v>
      </c>
      <c r="B57" s="262"/>
      <c r="C57" s="262"/>
      <c r="D57" s="262"/>
      <c r="E57" s="262"/>
      <c r="F57" s="33"/>
      <c r="G57" s="101" t="str">
        <f>A57</f>
        <v>CNPJ:</v>
      </c>
      <c r="H57" s="262"/>
      <c r="I57" s="262"/>
      <c r="J57" s="262"/>
      <c r="K57" s="262"/>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44" t="s">
        <v>196</v>
      </c>
      <c r="B60" s="244"/>
      <c r="C60" s="245"/>
      <c r="D60" s="245"/>
      <c r="E60" s="245"/>
      <c r="F60" s="245"/>
      <c r="G60" s="245"/>
      <c r="H60" s="245"/>
      <c r="I60" s="245"/>
      <c r="J60" s="245"/>
      <c r="K60" s="245"/>
      <c r="L60" s="245"/>
      <c r="M60" s="245"/>
      <c r="N60" s="245"/>
      <c r="O60" s="245"/>
      <c r="P60" s="245"/>
      <c r="Q60" s="245"/>
      <c r="R60" s="245"/>
      <c r="S60" s="245"/>
      <c r="T60" s="245"/>
      <c r="U60" s="245"/>
      <c r="V60" s="245"/>
      <c r="W60" s="245"/>
      <c r="X60" s="245"/>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51" t="s">
        <v>197</v>
      </c>
      <c r="B62" s="252"/>
      <c r="C62" s="253"/>
      <c r="D62" s="253"/>
      <c r="E62" s="253"/>
      <c r="F62" s="253"/>
      <c r="G62" s="253"/>
      <c r="H62" s="253"/>
      <c r="I62" s="253"/>
      <c r="J62" s="253"/>
      <c r="K62" s="253"/>
      <c r="L62" s="253"/>
      <c r="M62" s="253"/>
      <c r="N62" s="253"/>
      <c r="O62" s="253"/>
      <c r="P62" s="253"/>
      <c r="Q62" s="253"/>
      <c r="R62" s="253"/>
      <c r="S62" s="253"/>
      <c r="T62" s="253"/>
      <c r="U62" s="253"/>
      <c r="V62" s="253"/>
      <c r="W62" s="253"/>
      <c r="X62" s="253"/>
    </row>
    <row r="63" spans="1:24" s="21" customFormat="1" ht="30" customHeight="1">
      <c r="A63" s="251" t="s">
        <v>198</v>
      </c>
      <c r="B63" s="251"/>
      <c r="C63" s="296"/>
      <c r="D63" s="296"/>
      <c r="E63" s="296"/>
      <c r="F63" s="296"/>
      <c r="G63" s="296"/>
      <c r="H63" s="296"/>
      <c r="I63" s="296"/>
      <c r="J63" s="296"/>
      <c r="K63" s="296"/>
      <c r="L63" s="296"/>
      <c r="M63" s="296"/>
      <c r="N63" s="296"/>
      <c r="O63" s="296"/>
      <c r="P63" s="296"/>
      <c r="Q63" s="296"/>
      <c r="R63" s="296"/>
      <c r="S63" s="296"/>
      <c r="T63" s="296"/>
      <c r="U63" s="296"/>
      <c r="V63" s="296"/>
      <c r="W63" s="296"/>
      <c r="X63" s="296"/>
    </row>
    <row r="64" spans="1:24" s="21" customFormat="1" ht="12.75">
      <c r="A64" s="22"/>
      <c r="B64" s="22"/>
      <c r="F64" s="33"/>
      <c r="G64" s="34"/>
      <c r="H64" s="35"/>
      <c r="M64"/>
      <c r="N64"/>
      <c r="O64"/>
      <c r="P64"/>
      <c r="Q64"/>
      <c r="R64"/>
      <c r="S64"/>
      <c r="T64"/>
      <c r="U64"/>
      <c r="V64"/>
      <c r="W64"/>
      <c r="X64"/>
    </row>
    <row r="65" spans="1:24" s="21" customFormat="1" ht="12.75" customHeight="1">
      <c r="A65" s="244" t="s">
        <v>199</v>
      </c>
      <c r="B65" s="244"/>
      <c r="C65" s="245"/>
      <c r="D65" s="245"/>
      <c r="E65" s="245"/>
      <c r="F65" s="245"/>
      <c r="G65" s="245"/>
      <c r="H65" s="245"/>
      <c r="I65" s="245"/>
      <c r="J65" s="245"/>
      <c r="K65" s="245"/>
      <c r="L65" s="245"/>
      <c r="M65" s="245"/>
      <c r="N65" s="245"/>
      <c r="O65" s="245"/>
      <c r="P65" s="245"/>
      <c r="Q65" s="245"/>
      <c r="R65" s="245"/>
      <c r="S65" s="245"/>
      <c r="T65" s="245"/>
      <c r="U65" s="245"/>
      <c r="V65" s="245"/>
      <c r="W65" s="245"/>
      <c r="X65" s="245"/>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40" t="s">
        <v>200</v>
      </c>
      <c r="B67" s="240"/>
      <c r="C67" s="241"/>
      <c r="D67" s="241"/>
      <c r="E67" s="241"/>
      <c r="F67" s="241"/>
      <c r="G67" s="241"/>
      <c r="H67" s="241"/>
      <c r="I67" s="241"/>
      <c r="J67" s="241"/>
      <c r="K67" s="241"/>
      <c r="L67" s="241"/>
      <c r="M67" s="241"/>
      <c r="N67" s="241"/>
      <c r="O67" s="241"/>
      <c r="P67" s="241"/>
      <c r="Q67" s="241"/>
      <c r="R67" s="241"/>
      <c r="S67" s="241"/>
      <c r="T67" s="241"/>
      <c r="U67" s="241"/>
      <c r="V67" s="241"/>
      <c r="W67" s="241"/>
      <c r="X67" s="241"/>
    </row>
    <row r="68" spans="1:24" s="21" customFormat="1" ht="12.75">
      <c r="A68" s="240" t="s">
        <v>201</v>
      </c>
      <c r="B68" s="240"/>
      <c r="C68" s="241"/>
      <c r="D68" s="241"/>
      <c r="E68" s="241"/>
      <c r="F68" s="241"/>
      <c r="G68" s="241"/>
      <c r="H68" s="241"/>
      <c r="I68" s="241"/>
      <c r="J68" s="241"/>
      <c r="K68" s="241"/>
      <c r="L68" s="241"/>
      <c r="M68" s="241"/>
      <c r="N68" s="241"/>
      <c r="O68" s="241"/>
      <c r="P68" s="241"/>
      <c r="Q68" s="241"/>
      <c r="R68" s="241"/>
      <c r="S68" s="241"/>
      <c r="T68" s="241"/>
      <c r="U68" s="241"/>
      <c r="V68" s="241"/>
      <c r="W68" s="241"/>
      <c r="X68" s="241"/>
    </row>
    <row r="69" spans="1:24" s="21" customFormat="1" ht="12.75" customHeight="1">
      <c r="A69" s="240" t="s">
        <v>202</v>
      </c>
      <c r="B69" s="240"/>
      <c r="C69" s="241"/>
      <c r="D69" s="241"/>
      <c r="E69" s="241"/>
      <c r="F69" s="241"/>
      <c r="G69" s="241"/>
      <c r="H69" s="241"/>
      <c r="I69" s="241"/>
      <c r="J69" s="241"/>
      <c r="K69" s="241"/>
      <c r="L69" s="241"/>
      <c r="M69" s="241"/>
      <c r="N69" s="241"/>
      <c r="O69" s="241"/>
      <c r="P69" s="241"/>
      <c r="Q69" s="241"/>
      <c r="R69" s="241"/>
      <c r="S69" s="241"/>
      <c r="T69" s="241"/>
      <c r="U69" s="241"/>
      <c r="V69" s="241"/>
      <c r="W69" s="241"/>
      <c r="X69" s="241"/>
    </row>
    <row r="70" spans="1:24" s="21" customFormat="1" ht="12.75" customHeight="1">
      <c r="A70" s="240" t="s">
        <v>203</v>
      </c>
      <c r="B70" s="240"/>
      <c r="C70" s="241"/>
      <c r="D70" s="241"/>
      <c r="E70" s="241"/>
      <c r="F70" s="241"/>
      <c r="G70" s="241"/>
      <c r="H70" s="241"/>
      <c r="I70" s="241"/>
      <c r="J70" s="241"/>
      <c r="K70" s="241"/>
      <c r="L70" s="241"/>
      <c r="M70" s="241"/>
      <c r="N70" s="241"/>
      <c r="O70" s="241"/>
      <c r="P70" s="241"/>
      <c r="Q70" s="241"/>
      <c r="R70" s="241"/>
      <c r="S70" s="241"/>
      <c r="T70" s="241"/>
      <c r="U70" s="241"/>
      <c r="V70" s="241"/>
      <c r="W70" s="241"/>
      <c r="X70" s="241"/>
    </row>
    <row r="71" spans="1:24" s="21" customFormat="1" ht="12.75" customHeight="1">
      <c r="A71" s="240" t="s">
        <v>204</v>
      </c>
      <c r="B71" s="240"/>
      <c r="C71" s="241"/>
      <c r="D71" s="241"/>
      <c r="E71" s="241"/>
      <c r="F71" s="241"/>
      <c r="G71" s="241"/>
      <c r="H71" s="241"/>
      <c r="I71" s="241"/>
      <c r="J71" s="241"/>
      <c r="K71" s="241"/>
      <c r="L71" s="241"/>
      <c r="M71" s="241"/>
      <c r="N71" s="241"/>
      <c r="O71" s="241"/>
      <c r="P71" s="241"/>
      <c r="Q71" s="241"/>
      <c r="R71" s="241"/>
      <c r="S71" s="241"/>
      <c r="T71" s="241"/>
      <c r="U71" s="241"/>
      <c r="V71" s="241"/>
      <c r="W71" s="241"/>
      <c r="X71" s="241"/>
    </row>
    <row r="72" spans="1:24" s="21" customFormat="1" ht="12.75" customHeight="1">
      <c r="A72" s="240" t="s">
        <v>205</v>
      </c>
      <c r="B72" s="240"/>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1:8" s="21" customFormat="1" ht="12.75">
      <c r="A73" s="22"/>
      <c r="B73" s="22"/>
      <c r="F73" s="33"/>
      <c r="G73" s="34"/>
      <c r="H73" s="35"/>
    </row>
    <row r="74" spans="1:24" s="21" customFormat="1" ht="12.75" customHeight="1">
      <c r="A74" s="244" t="s">
        <v>206</v>
      </c>
      <c r="B74" s="244"/>
      <c r="C74" s="245"/>
      <c r="D74" s="245"/>
      <c r="E74" s="245"/>
      <c r="F74" s="245"/>
      <c r="G74" s="245"/>
      <c r="H74" s="245"/>
      <c r="I74" s="245"/>
      <c r="J74" s="245"/>
      <c r="K74" s="245"/>
      <c r="L74" s="245"/>
      <c r="M74" s="245"/>
      <c r="N74" s="245"/>
      <c r="O74" s="245"/>
      <c r="P74" s="245"/>
      <c r="Q74" s="245"/>
      <c r="R74" s="245"/>
      <c r="S74" s="245"/>
      <c r="T74" s="245"/>
      <c r="U74" s="245"/>
      <c r="V74" s="245"/>
      <c r="W74" s="245"/>
      <c r="X74" s="245"/>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40" t="s">
        <v>207</v>
      </c>
      <c r="B76" s="240"/>
      <c r="C76" s="241"/>
      <c r="D76" s="241"/>
      <c r="E76" s="241"/>
      <c r="F76" s="241"/>
      <c r="G76" s="241"/>
      <c r="H76" s="241"/>
      <c r="I76" s="241"/>
      <c r="J76" s="241"/>
      <c r="K76" s="241"/>
      <c r="L76" s="241"/>
      <c r="M76" s="241"/>
      <c r="N76" s="241"/>
      <c r="O76" s="241"/>
      <c r="P76" s="241"/>
      <c r="Q76" s="241"/>
      <c r="R76" s="241"/>
      <c r="S76" s="241"/>
      <c r="T76" s="241"/>
      <c r="U76" s="241"/>
      <c r="V76" s="241"/>
      <c r="W76" s="241"/>
      <c r="X76" s="241"/>
    </row>
    <row r="77" spans="1:24" s="21" customFormat="1" ht="25.5" customHeight="1">
      <c r="A77" s="236" t="s">
        <v>208</v>
      </c>
      <c r="B77" s="236"/>
      <c r="C77" s="237"/>
      <c r="D77" s="237"/>
      <c r="E77" s="237"/>
      <c r="F77" s="237"/>
      <c r="G77" s="237"/>
      <c r="H77" s="237"/>
      <c r="I77" s="237"/>
      <c r="J77" s="237"/>
      <c r="K77" s="237"/>
      <c r="L77" s="237"/>
      <c r="M77" s="237"/>
      <c r="N77" s="237"/>
      <c r="O77" s="237"/>
      <c r="P77" s="237"/>
      <c r="Q77" s="237"/>
      <c r="R77" s="237"/>
      <c r="S77" s="237"/>
      <c r="T77" s="237"/>
      <c r="U77" s="237"/>
      <c r="V77" s="237"/>
      <c r="W77" s="237"/>
      <c r="X77" s="237"/>
    </row>
    <row r="78" spans="1:24" s="21" customFormat="1" ht="12.75" customHeight="1">
      <c r="A78" s="240" t="s">
        <v>209</v>
      </c>
      <c r="B78" s="240"/>
      <c r="C78" s="241"/>
      <c r="D78" s="241"/>
      <c r="E78" s="241"/>
      <c r="F78" s="241"/>
      <c r="G78" s="241"/>
      <c r="H78" s="241"/>
      <c r="I78" s="241"/>
      <c r="J78" s="241"/>
      <c r="K78" s="241"/>
      <c r="L78" s="241"/>
      <c r="M78" s="241"/>
      <c r="N78" s="241"/>
      <c r="O78" s="241"/>
      <c r="P78" s="241"/>
      <c r="Q78" s="241"/>
      <c r="R78" s="241"/>
      <c r="S78" s="241"/>
      <c r="T78" s="241"/>
      <c r="U78" s="241"/>
      <c r="V78" s="241"/>
      <c r="W78" s="241"/>
      <c r="X78" s="241"/>
    </row>
    <row r="79" spans="1:24" s="21" customFormat="1" ht="25.5" customHeight="1">
      <c r="A79" s="240" t="s">
        <v>210</v>
      </c>
      <c r="B79" s="240"/>
      <c r="C79" s="241"/>
      <c r="D79" s="241"/>
      <c r="E79" s="241"/>
      <c r="F79" s="241"/>
      <c r="G79" s="241"/>
      <c r="H79" s="241"/>
      <c r="I79" s="241"/>
      <c r="J79" s="241"/>
      <c r="K79" s="241"/>
      <c r="L79" s="241"/>
      <c r="M79" s="241"/>
      <c r="N79" s="241"/>
      <c r="O79" s="241"/>
      <c r="P79" s="241"/>
      <c r="Q79" s="241"/>
      <c r="R79" s="241"/>
      <c r="S79" s="241"/>
      <c r="T79" s="241"/>
      <c r="U79" s="241"/>
      <c r="V79" s="241"/>
      <c r="W79" s="241"/>
      <c r="X79" s="241"/>
    </row>
    <row r="80" spans="1:24" s="21" customFormat="1" ht="12.75">
      <c r="A80" s="236" t="s">
        <v>211</v>
      </c>
      <c r="B80" s="236"/>
      <c r="C80" s="237"/>
      <c r="D80" s="237"/>
      <c r="E80" s="237"/>
      <c r="F80" s="237"/>
      <c r="G80" s="237"/>
      <c r="H80" s="237"/>
      <c r="I80" s="237"/>
      <c r="J80" s="237"/>
      <c r="K80" s="237"/>
      <c r="L80" s="237"/>
      <c r="M80" s="237"/>
      <c r="N80" s="237"/>
      <c r="O80" s="237"/>
      <c r="P80" s="237"/>
      <c r="Q80" s="237"/>
      <c r="R80" s="237"/>
      <c r="S80" s="237"/>
      <c r="T80" s="237"/>
      <c r="U80" s="237"/>
      <c r="V80" s="237"/>
      <c r="W80" s="237"/>
      <c r="X80" s="237"/>
    </row>
    <row r="81" spans="1:24" ht="12.75" customHeight="1">
      <c r="A81" s="240" t="s">
        <v>212</v>
      </c>
      <c r="B81" s="240"/>
      <c r="C81" s="241"/>
      <c r="D81" s="241"/>
      <c r="E81" s="241"/>
      <c r="F81" s="241"/>
      <c r="G81" s="241"/>
      <c r="H81" s="241"/>
      <c r="I81" s="241"/>
      <c r="J81" s="241"/>
      <c r="K81" s="241"/>
      <c r="L81" s="241"/>
      <c r="M81" s="241"/>
      <c r="N81" s="241"/>
      <c r="O81" s="241"/>
      <c r="P81" s="241"/>
      <c r="Q81" s="241"/>
      <c r="R81" s="241"/>
      <c r="S81" s="241"/>
      <c r="T81" s="241"/>
      <c r="U81" s="241"/>
      <c r="V81" s="241"/>
      <c r="W81" s="241"/>
      <c r="X81" s="241"/>
    </row>
    <row r="82" spans="1:24" ht="25.5" customHeight="1">
      <c r="A82" s="240" t="s">
        <v>213</v>
      </c>
      <c r="B82" s="240"/>
      <c r="C82" s="241"/>
      <c r="D82" s="241"/>
      <c r="E82" s="241"/>
      <c r="F82" s="241"/>
      <c r="G82" s="241"/>
      <c r="H82" s="241"/>
      <c r="I82" s="241"/>
      <c r="J82" s="241"/>
      <c r="K82" s="241"/>
      <c r="L82" s="241"/>
      <c r="M82" s="241"/>
      <c r="N82" s="241"/>
      <c r="O82" s="241"/>
      <c r="P82" s="241"/>
      <c r="Q82" s="241"/>
      <c r="R82" s="241"/>
      <c r="S82" s="241"/>
      <c r="T82" s="241"/>
      <c r="U82" s="241"/>
      <c r="V82" s="241"/>
      <c r="W82" s="241"/>
      <c r="X82" s="241"/>
    </row>
    <row r="83" spans="1:24" s="21" customFormat="1" ht="25.5" customHeight="1">
      <c r="A83" s="240" t="s">
        <v>214</v>
      </c>
      <c r="B83" s="240"/>
      <c r="C83" s="241"/>
      <c r="D83" s="241"/>
      <c r="E83" s="241"/>
      <c r="F83" s="241"/>
      <c r="G83" s="241"/>
      <c r="H83" s="241"/>
      <c r="I83" s="241"/>
      <c r="J83" s="241"/>
      <c r="K83" s="241"/>
      <c r="L83" s="241"/>
      <c r="M83" s="241"/>
      <c r="N83" s="241"/>
      <c r="O83" s="241"/>
      <c r="P83" s="241"/>
      <c r="Q83" s="241"/>
      <c r="R83" s="241"/>
      <c r="S83" s="241"/>
      <c r="T83" s="241"/>
      <c r="U83" s="241"/>
      <c r="V83" s="241"/>
      <c r="W83" s="241"/>
      <c r="X83" s="241"/>
    </row>
    <row r="84" spans="1:24" s="21" customFormat="1" ht="12.75" customHeight="1">
      <c r="A84" s="240" t="s">
        <v>215</v>
      </c>
      <c r="B84" s="240"/>
      <c r="C84" s="241"/>
      <c r="D84" s="241"/>
      <c r="E84" s="241"/>
      <c r="F84" s="241"/>
      <c r="G84" s="241"/>
      <c r="H84" s="241"/>
      <c r="I84" s="241"/>
      <c r="J84" s="241"/>
      <c r="K84" s="241"/>
      <c r="L84" s="241"/>
      <c r="M84" s="241"/>
      <c r="N84" s="241"/>
      <c r="O84" s="241"/>
      <c r="P84" s="241"/>
      <c r="Q84" s="241"/>
      <c r="R84" s="241"/>
      <c r="S84" s="241"/>
      <c r="T84" s="241"/>
      <c r="U84" s="241"/>
      <c r="V84" s="241"/>
      <c r="W84" s="241"/>
      <c r="X84" s="241"/>
    </row>
    <row r="85" spans="1:24" s="21" customFormat="1" ht="12.75">
      <c r="A85" s="240" t="s">
        <v>216</v>
      </c>
      <c r="B85" s="240"/>
      <c r="C85" s="241"/>
      <c r="D85" s="241"/>
      <c r="E85" s="241"/>
      <c r="F85" s="241"/>
      <c r="G85" s="241"/>
      <c r="H85" s="241"/>
      <c r="I85" s="241"/>
      <c r="J85" s="241"/>
      <c r="K85" s="241"/>
      <c r="L85" s="241"/>
      <c r="M85" s="241"/>
      <c r="N85" s="241"/>
      <c r="O85" s="241"/>
      <c r="P85" s="241"/>
      <c r="Q85" s="241"/>
      <c r="R85" s="241"/>
      <c r="S85" s="241"/>
      <c r="T85" s="241"/>
      <c r="U85" s="241"/>
      <c r="V85" s="241"/>
      <c r="W85" s="241"/>
      <c r="X85" s="241"/>
    </row>
    <row r="86" spans="1:24" ht="12.75" customHeight="1">
      <c r="A86" s="236" t="s">
        <v>217</v>
      </c>
      <c r="B86" s="236"/>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ht="12.75">
      <c r="A87" s="240" t="s">
        <v>218</v>
      </c>
      <c r="B87" s="240"/>
      <c r="C87" s="241"/>
      <c r="D87" s="241"/>
      <c r="E87" s="241"/>
      <c r="F87" s="241"/>
      <c r="G87" s="241"/>
      <c r="H87" s="241"/>
      <c r="I87" s="241"/>
      <c r="J87" s="241"/>
      <c r="K87" s="241"/>
      <c r="L87" s="241"/>
      <c r="M87" s="241"/>
      <c r="N87" s="241"/>
      <c r="O87" s="241"/>
      <c r="P87" s="241"/>
      <c r="Q87" s="241"/>
      <c r="R87" s="241"/>
      <c r="S87" s="241"/>
      <c r="T87" s="241"/>
      <c r="U87" s="241"/>
      <c r="V87" s="241"/>
      <c r="W87" s="241"/>
      <c r="X87" s="241"/>
    </row>
    <row r="88" spans="1:24" ht="12.75">
      <c r="A88" s="240" t="s">
        <v>219</v>
      </c>
      <c r="B88" s="240"/>
      <c r="C88" s="241"/>
      <c r="D88" s="241"/>
      <c r="E88" s="241"/>
      <c r="F88" s="241"/>
      <c r="G88" s="241"/>
      <c r="H88" s="241"/>
      <c r="I88" s="241"/>
      <c r="J88" s="241"/>
      <c r="K88" s="241"/>
      <c r="L88" s="241"/>
      <c r="M88" s="241"/>
      <c r="N88" s="241"/>
      <c r="O88" s="241"/>
      <c r="P88" s="241"/>
      <c r="Q88" s="241"/>
      <c r="R88" s="241"/>
      <c r="S88" s="241"/>
      <c r="T88" s="241"/>
      <c r="U88" s="241"/>
      <c r="V88" s="241"/>
      <c r="W88" s="241"/>
      <c r="X88" s="241"/>
    </row>
    <row r="90" spans="1:24" ht="12.75">
      <c r="A90" s="244" t="s">
        <v>220</v>
      </c>
      <c r="B90" s="244"/>
      <c r="C90" s="245"/>
      <c r="D90" s="245"/>
      <c r="E90" s="245"/>
      <c r="F90" s="245"/>
      <c r="G90" s="245"/>
      <c r="H90" s="245"/>
      <c r="I90" s="245"/>
      <c r="J90" s="245"/>
      <c r="K90" s="245"/>
      <c r="L90" s="245"/>
      <c r="M90" s="245"/>
      <c r="N90" s="245"/>
      <c r="O90" s="245"/>
      <c r="P90" s="245"/>
      <c r="Q90" s="245"/>
      <c r="R90" s="245"/>
      <c r="S90" s="245"/>
      <c r="T90" s="245"/>
      <c r="U90" s="245"/>
      <c r="V90" s="245"/>
      <c r="W90" s="245"/>
      <c r="X90" s="245"/>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40" t="s">
        <v>221</v>
      </c>
      <c r="B92" s="240"/>
      <c r="C92" s="241"/>
      <c r="D92" s="241"/>
      <c r="E92" s="241"/>
      <c r="F92" s="241"/>
      <c r="G92" s="241"/>
      <c r="H92" s="241"/>
      <c r="I92" s="241"/>
      <c r="J92" s="241"/>
      <c r="K92" s="241"/>
      <c r="L92" s="241"/>
      <c r="M92" s="241"/>
      <c r="N92" s="241"/>
      <c r="O92" s="241"/>
      <c r="P92" s="241"/>
      <c r="Q92" s="241"/>
      <c r="R92" s="241"/>
      <c r="S92" s="241"/>
      <c r="T92" s="241"/>
      <c r="U92" s="241"/>
      <c r="V92" s="241"/>
      <c r="W92" s="241"/>
      <c r="X92" s="241"/>
    </row>
    <row r="93" spans="1:24" ht="12.75" customHeight="1">
      <c r="A93" s="236" t="s">
        <v>222</v>
      </c>
      <c r="B93" s="236"/>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1:24" ht="12.75" customHeight="1">
      <c r="A94" s="240" t="s">
        <v>223</v>
      </c>
      <c r="B94" s="240"/>
      <c r="C94" s="241"/>
      <c r="D94" s="241"/>
      <c r="E94" s="241"/>
      <c r="F94" s="241"/>
      <c r="G94" s="241"/>
      <c r="H94" s="241"/>
      <c r="I94" s="241"/>
      <c r="J94" s="241"/>
      <c r="K94" s="241"/>
      <c r="L94" s="241"/>
      <c r="M94" s="241"/>
      <c r="N94" s="241"/>
      <c r="O94" s="241"/>
      <c r="P94" s="241"/>
      <c r="Q94" s="241"/>
      <c r="R94" s="241"/>
      <c r="S94" s="241"/>
      <c r="T94" s="241"/>
      <c r="U94" s="241"/>
      <c r="V94" s="241"/>
      <c r="W94" s="241"/>
      <c r="X94" s="241"/>
    </row>
    <row r="95" spans="1:24" ht="12.75">
      <c r="A95" s="240" t="s">
        <v>224</v>
      </c>
      <c r="B95" s="240"/>
      <c r="C95" s="241"/>
      <c r="D95" s="241"/>
      <c r="E95" s="241"/>
      <c r="F95" s="241"/>
      <c r="G95" s="241"/>
      <c r="H95" s="241"/>
      <c r="I95" s="241"/>
      <c r="J95" s="241"/>
      <c r="K95" s="241"/>
      <c r="L95" s="241"/>
      <c r="M95" s="241"/>
      <c r="N95" s="241"/>
      <c r="O95" s="241"/>
      <c r="P95" s="241"/>
      <c r="Q95" s="241"/>
      <c r="R95" s="241"/>
      <c r="S95" s="241"/>
      <c r="T95" s="241"/>
      <c r="U95" s="241"/>
      <c r="V95" s="241"/>
      <c r="W95" s="241"/>
      <c r="X95" s="241"/>
    </row>
    <row r="96" spans="1:24" ht="12.75" customHeight="1">
      <c r="A96" s="236"/>
      <c r="B96" s="236"/>
      <c r="C96" s="237"/>
      <c r="D96" s="237"/>
      <c r="E96" s="237"/>
      <c r="F96" s="237"/>
      <c r="G96" s="237"/>
      <c r="H96" s="237"/>
      <c r="I96" s="237"/>
      <c r="J96" s="237"/>
      <c r="K96" s="237"/>
      <c r="L96" s="237"/>
      <c r="M96" s="237"/>
      <c r="N96" s="237"/>
      <c r="O96" s="237"/>
      <c r="P96" s="237"/>
      <c r="Q96" s="237"/>
      <c r="R96" s="237"/>
      <c r="S96" s="237"/>
      <c r="T96" s="237"/>
      <c r="U96" s="237"/>
      <c r="V96" s="237"/>
      <c r="W96" s="237"/>
      <c r="X96" s="237"/>
    </row>
    <row r="97" spans="1:24" ht="12.75">
      <c r="A97" s="244" t="s">
        <v>225</v>
      </c>
      <c r="B97" s="244"/>
      <c r="C97" s="245"/>
      <c r="D97" s="245"/>
      <c r="E97" s="245"/>
      <c r="F97" s="245"/>
      <c r="G97" s="245"/>
      <c r="H97" s="245"/>
      <c r="I97" s="245"/>
      <c r="J97" s="245"/>
      <c r="K97" s="245"/>
      <c r="L97" s="245"/>
      <c r="M97" s="245"/>
      <c r="N97" s="245"/>
      <c r="O97" s="245"/>
      <c r="P97" s="245"/>
      <c r="Q97" s="245"/>
      <c r="R97" s="245"/>
      <c r="S97" s="245"/>
      <c r="T97" s="245"/>
      <c r="U97" s="245"/>
      <c r="V97" s="245"/>
      <c r="W97" s="245"/>
      <c r="X97" s="245"/>
    </row>
    <row r="98" spans="1:24" ht="12.75" customHeight="1">
      <c r="A98" s="236"/>
      <c r="B98" s="236"/>
      <c r="C98" s="237"/>
      <c r="D98" s="237"/>
      <c r="E98" s="237"/>
      <c r="F98" s="237"/>
      <c r="G98" s="237"/>
      <c r="H98" s="237"/>
      <c r="I98" s="237"/>
      <c r="J98" s="237"/>
      <c r="K98" s="237"/>
      <c r="L98" s="237"/>
      <c r="M98" s="237"/>
      <c r="N98" s="237"/>
      <c r="O98" s="237"/>
      <c r="P98" s="237"/>
      <c r="Q98" s="237"/>
      <c r="R98" s="237"/>
      <c r="S98" s="237"/>
      <c r="T98" s="237"/>
      <c r="U98" s="237"/>
      <c r="V98" s="237"/>
      <c r="W98" s="237"/>
      <c r="X98" s="237"/>
    </row>
    <row r="99" spans="1:24" ht="12.75" customHeight="1">
      <c r="A99" s="240" t="s">
        <v>226</v>
      </c>
      <c r="B99" s="240"/>
      <c r="C99" s="241"/>
      <c r="D99" s="241"/>
      <c r="E99" s="241"/>
      <c r="F99" s="241"/>
      <c r="G99" s="241"/>
      <c r="H99" s="241"/>
      <c r="I99" s="241"/>
      <c r="J99" s="241"/>
      <c r="K99" s="241"/>
      <c r="L99" s="241"/>
      <c r="M99" s="241"/>
      <c r="N99" s="241"/>
      <c r="O99" s="241"/>
      <c r="P99" s="241"/>
      <c r="Q99" s="241"/>
      <c r="R99" s="241"/>
      <c r="S99" s="241"/>
      <c r="T99" s="241"/>
      <c r="U99" s="241"/>
      <c r="V99" s="241"/>
      <c r="W99" s="241"/>
      <c r="X99" s="241"/>
    </row>
    <row r="100" spans="1:24" ht="12.75" customHeight="1">
      <c r="A100" s="240" t="s">
        <v>227</v>
      </c>
      <c r="B100" s="240"/>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row>
    <row r="101" spans="1:24" ht="12.75">
      <c r="A101" s="240" t="s">
        <v>228</v>
      </c>
      <c r="B101" s="240"/>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132</v>
      </c>
      <c r="O107" s="82"/>
      <c r="P107" s="38"/>
      <c r="Q107" s="82"/>
    </row>
    <row r="108" spans="1:19" ht="12.75" customHeight="1">
      <c r="A108"/>
      <c r="E108"/>
      <c r="F108"/>
      <c r="G108" s="31"/>
      <c r="H108" s="31"/>
      <c r="L108" s="82" t="s">
        <v>133</v>
      </c>
      <c r="P108" s="31"/>
      <c r="S108" s="208">
        <f>T38</f>
        <v>0.285</v>
      </c>
    </row>
    <row r="109" spans="1:19" ht="12.75">
      <c r="A109"/>
      <c r="E109"/>
      <c r="F109"/>
      <c r="G109" s="31"/>
      <c r="H109" s="31"/>
      <c r="L109" s="82" t="s">
        <v>134</v>
      </c>
      <c r="P109" s="31"/>
      <c r="S109" s="208">
        <f>U38</f>
      </c>
    </row>
    <row r="110" spans="1:19" ht="12.75" customHeight="1">
      <c r="A110"/>
      <c r="E110"/>
      <c r="F110"/>
      <c r="G110" s="31"/>
      <c r="H110" s="31"/>
      <c r="L110" s="82" t="s">
        <v>135</v>
      </c>
      <c r="P110" s="31"/>
      <c r="S110" s="208">
        <f>V38</f>
      </c>
    </row>
    <row r="111" spans="1:19" ht="12.75">
      <c r="A111"/>
      <c r="E111"/>
      <c r="F111"/>
      <c r="G111" s="31"/>
      <c r="H111" s="31"/>
      <c r="L111" s="82" t="s">
        <v>136</v>
      </c>
      <c r="P111" s="31"/>
      <c r="S111" s="208">
        <f>W38</f>
      </c>
    </row>
    <row r="112" spans="1:19" ht="12.75" customHeight="1">
      <c r="A112"/>
      <c r="E112"/>
      <c r="F112"/>
      <c r="G112" s="31"/>
      <c r="H112" s="31"/>
      <c r="L112" s="82" t="s">
        <v>137</v>
      </c>
      <c r="P112" s="31"/>
      <c r="S112" s="208">
        <f>X38</f>
      </c>
    </row>
    <row r="113" spans="1:12" ht="12.75">
      <c r="A113"/>
      <c r="H113" s="38"/>
      <c r="L113" s="82" t="s">
        <v>66</v>
      </c>
    </row>
    <row r="114" spans="1:12" ht="12.75" customHeight="1">
      <c r="A114"/>
      <c r="H114" s="38"/>
      <c r="L114" s="82" t="s">
        <v>67</v>
      </c>
    </row>
    <row r="115" spans="1:16" ht="12.75">
      <c r="A115"/>
      <c r="H115" s="38"/>
      <c r="L115" s="82" t="s">
        <v>68</v>
      </c>
      <c r="P115" s="1" t="s">
        <v>113</v>
      </c>
    </row>
    <row r="116" spans="1:16" ht="12.75">
      <c r="A116"/>
      <c r="H116" s="38"/>
      <c r="L116" s="82" t="s">
        <v>69</v>
      </c>
      <c r="P116" s="1" t="s">
        <v>114</v>
      </c>
    </row>
    <row r="117" spans="1:16" ht="12.75">
      <c r="A117"/>
      <c r="L117" s="82" t="s">
        <v>70</v>
      </c>
      <c r="P117" s="1" t="s">
        <v>115</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46" t="str">
        <f>A28</f>
        <v>Nº OPERAÇÃO</v>
      </c>
      <c r="B220" s="248"/>
      <c r="C220" s="246" t="str">
        <f>C28</f>
        <v>GESTOR</v>
      </c>
      <c r="D220" s="247"/>
      <c r="E220" s="248"/>
      <c r="F220" s="246" t="str">
        <f>F28</f>
        <v>PROGRAMA</v>
      </c>
      <c r="G220" s="247"/>
      <c r="H220" s="247"/>
      <c r="I220" s="248"/>
      <c r="J220" s="246" t="str">
        <f>J28</f>
        <v>AÇÃO / MODALIDADE</v>
      </c>
      <c r="K220" s="247"/>
      <c r="L220" s="247"/>
      <c r="M220" s="247"/>
      <c r="N220" s="247"/>
      <c r="O220" s="248"/>
      <c r="P220" s="246" t="str">
        <f>P28</f>
        <v>OBJETO</v>
      </c>
      <c r="Q220" s="247"/>
      <c r="R220" s="247"/>
      <c r="S220" s="247"/>
      <c r="T220" s="247"/>
      <c r="U220" s="247"/>
      <c r="V220" s="247"/>
      <c r="W220" s="247"/>
      <c r="X220" s="248"/>
    </row>
    <row r="221" spans="1:24" ht="12.75" customHeight="1">
      <c r="A221" s="281" t="str">
        <f>IF(A29="","",A29)</f>
        <v>1056086-44</v>
      </c>
      <c r="B221" s="283"/>
      <c r="C221" s="281" t="str">
        <f>IF(C29="","",C29)</f>
        <v>MCIDADES</v>
      </c>
      <c r="D221" s="282"/>
      <c r="E221" s="283"/>
      <c r="F221" s="281" t="str">
        <f>IF(F29="","",F29)</f>
        <v>PLANEJAMENTO URBANO</v>
      </c>
      <c r="G221" s="282"/>
      <c r="H221" s="282"/>
      <c r="I221" s="283"/>
      <c r="J221" s="281" t="str">
        <f>IF(J29="","",J29)</f>
        <v>PAVIMENTAÇÃO</v>
      </c>
      <c r="K221" s="282"/>
      <c r="L221" s="282" t="e">
        <f>IF(#REF!="","",#REF!)</f>
        <v>#REF!</v>
      </c>
      <c r="M221" s="282"/>
      <c r="N221" s="282" t="e">
        <f>IF(#REF!="","",#REF!)</f>
        <v>#REF!</v>
      </c>
      <c r="O221" s="283"/>
      <c r="P221" s="281" t="str">
        <f>IF(P29="","",P29)</f>
        <v>PAVIMENTAÇÃO ASFÁLTICA COM GUIAS, SARJETAS E PASSEIO PÚBLICO NAS SEGUINTES RUAS FLÓRIDA, GLÓRIA, LÍDIA, MARÍLIA E DILMA NO MUNICÍPIO  DE NAVIRAÍ - MS</v>
      </c>
      <c r="Q221" s="282"/>
      <c r="R221" s="282"/>
      <c r="S221" s="282"/>
      <c r="T221" s="282"/>
      <c r="U221" s="282"/>
      <c r="V221" s="282"/>
      <c r="W221" s="282"/>
      <c r="X221" s="283"/>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46" t="str">
        <f>A31</f>
        <v>PROPONENTE / TOMADOR</v>
      </c>
      <c r="B223" s="247"/>
      <c r="C223" s="247"/>
      <c r="D223" s="247"/>
      <c r="E223" s="247"/>
      <c r="F223" s="247"/>
      <c r="G223" s="246" t="str">
        <f>G31</f>
        <v>MUNICÍPIO / UF</v>
      </c>
      <c r="H223" s="247"/>
      <c r="I223" s="247"/>
      <c r="J223" s="248"/>
      <c r="K223" s="246" t="str">
        <f>K31</f>
        <v>LOCALIDADE / ENDEREÇO</v>
      </c>
      <c r="L223" s="247"/>
      <c r="M223" s="247"/>
      <c r="N223" s="247"/>
      <c r="O223" s="247"/>
      <c r="P223" s="248"/>
      <c r="Q223" s="246" t="str">
        <f>Q31</f>
        <v>APELIDO DO EMPREENDIMENTO</v>
      </c>
      <c r="R223" s="247"/>
      <c r="S223" s="247"/>
      <c r="T223" s="247"/>
      <c r="U223" s="247"/>
      <c r="V223" s="247"/>
      <c r="W223" s="247"/>
      <c r="X223" s="248"/>
    </row>
    <row r="224" spans="1:24" ht="12.75" customHeight="1">
      <c r="A224" s="279" t="str">
        <f>IF(A32="","",A32)</f>
        <v>PREFEITURA MUNICIPAL DE NAVIRAÍ</v>
      </c>
      <c r="B224" s="280"/>
      <c r="C224" s="280"/>
      <c r="D224" s="280"/>
      <c r="E224" s="280"/>
      <c r="F224" s="280"/>
      <c r="G224" s="281" t="str">
        <f>IF(G32="","",G32)</f>
        <v>NAVIRAÍ - MS</v>
      </c>
      <c r="H224" s="282">
        <f>IF(I32="","",I32)</f>
      </c>
      <c r="I224" s="282"/>
      <c r="J224" s="283" t="e">
        <f>IF(#REF!="","",#REF!)</f>
        <v>#REF!</v>
      </c>
      <c r="K224" s="281" t="str">
        <f>IF(K32="","",K32)</f>
        <v>CENTRO </v>
      </c>
      <c r="L224" s="282"/>
      <c r="M224" s="282"/>
      <c r="N224" s="282"/>
      <c r="O224" s="282"/>
      <c r="P224" s="283"/>
      <c r="Q224" s="281" t="str">
        <f>IF(Q32="","",Q32)</f>
        <v>PAVIMENTAÇÃO DA RUA FLÓRIDA, GLÓRIA, LÍDA, MARÍLIA E DILMA.</v>
      </c>
      <c r="R224" s="282"/>
      <c r="S224" s="282"/>
      <c r="T224" s="282"/>
      <c r="U224" s="282"/>
      <c r="V224" s="282"/>
      <c r="W224" s="282"/>
      <c r="X224" s="283"/>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46" t="str">
        <f>A37</f>
        <v>DATA BASE</v>
      </c>
      <c r="B226" s="248"/>
      <c r="C226" s="135" t="str">
        <f>C37</f>
        <v>DESON.</v>
      </c>
      <c r="D226" s="246" t="str">
        <f>D37</f>
        <v>LOCALIDADE DO SINAPI</v>
      </c>
      <c r="E226" s="247"/>
      <c r="F226" s="248"/>
      <c r="G226" s="246" t="str">
        <f>G37</f>
        <v>DESCRIÇÃO DO LOTE</v>
      </c>
      <c r="H226" s="247"/>
      <c r="I226" s="247"/>
      <c r="J226" s="247"/>
      <c r="K226" s="247"/>
      <c r="L226" s="247"/>
      <c r="M226" s="247"/>
      <c r="N226" s="247"/>
      <c r="O226" s="247"/>
      <c r="P226" s="247"/>
      <c r="Q226" s="247"/>
      <c r="R226" s="247"/>
      <c r="S226" s="248"/>
      <c r="T226" s="136" t="str">
        <f>T37</f>
        <v>BDI 1</v>
      </c>
      <c r="U226" s="136" t="str">
        <f>U37</f>
        <v>BDI 2</v>
      </c>
      <c r="V226" s="136" t="str">
        <f>V37</f>
        <v>BDI 3</v>
      </c>
      <c r="W226" s="136" t="str">
        <f>W37</f>
        <v>BDI 4</v>
      </c>
      <c r="X226" s="136" t="str">
        <f>X37</f>
        <v>BDI 5</v>
      </c>
    </row>
    <row r="227" spans="1:24" ht="12.75" customHeight="1" hidden="1">
      <c r="A227" s="286">
        <f>IF(A38="","",A38)</f>
        <v>43739</v>
      </c>
      <c r="B227" s="287"/>
      <c r="C227" s="137" t="str">
        <f aca="true" t="shared" si="0" ref="C227:X227">IF(C38="","",C38)</f>
        <v>Sim</v>
      </c>
      <c r="D227" s="288" t="str">
        <f t="shared" si="0"/>
        <v>Campo Grande / MS</v>
      </c>
      <c r="E227" s="289">
        <f t="shared" si="0"/>
      </c>
      <c r="F227" s="290">
        <f t="shared" si="0"/>
      </c>
      <c r="G227" s="288" t="str">
        <f t="shared" si="0"/>
        <v>ÚNICO</v>
      </c>
      <c r="H227" s="289">
        <f t="shared" si="0"/>
      </c>
      <c r="I227" s="289">
        <f t="shared" si="0"/>
      </c>
      <c r="J227" s="289">
        <f t="shared" si="0"/>
      </c>
      <c r="K227" s="289">
        <f t="shared" si="0"/>
      </c>
      <c r="L227" s="289">
        <f t="shared" si="0"/>
      </c>
      <c r="M227" s="289">
        <f t="shared" si="0"/>
      </c>
      <c r="N227" s="289">
        <f t="shared" si="0"/>
      </c>
      <c r="O227" s="289">
        <f t="shared" si="0"/>
      </c>
      <c r="P227" s="289">
        <f t="shared" si="0"/>
      </c>
      <c r="Q227" s="289">
        <f t="shared" si="0"/>
      </c>
      <c r="R227" s="289">
        <f t="shared" si="0"/>
      </c>
      <c r="S227" s="290">
        <f t="shared" si="0"/>
      </c>
      <c r="T227" s="139">
        <f t="shared" si="0"/>
        <v>0.285</v>
      </c>
      <c r="U227" s="96">
        <f t="shared" si="0"/>
      </c>
      <c r="V227" s="96">
        <f t="shared" si="0"/>
      </c>
      <c r="W227" s="96">
        <f t="shared" si="0"/>
      </c>
      <c r="X227" s="96">
        <f t="shared" si="0"/>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46" t="s">
        <v>87</v>
      </c>
      <c r="B229" s="248"/>
      <c r="C229" s="246" t="s">
        <v>164</v>
      </c>
      <c r="D229" s="247"/>
      <c r="E229" s="247"/>
      <c r="F229" s="247"/>
      <c r="G229" s="247"/>
      <c r="H229" s="246" t="s">
        <v>16</v>
      </c>
      <c r="I229" s="247"/>
      <c r="J229" s="134" t="s">
        <v>91</v>
      </c>
      <c r="K229" s="246" t="s">
        <v>88</v>
      </c>
      <c r="L229" s="247"/>
      <c r="M229" s="248"/>
      <c r="N229" s="134" t="s">
        <v>92</v>
      </c>
      <c r="O229" s="246" t="s">
        <v>93</v>
      </c>
      <c r="P229" s="247"/>
      <c r="Q229" s="247"/>
      <c r="R229" s="247"/>
      <c r="S229" s="247"/>
      <c r="T229" s="248"/>
      <c r="U229" s="284" t="s">
        <v>89</v>
      </c>
      <c r="V229" s="285"/>
      <c r="W229" s="284" t="s">
        <v>90</v>
      </c>
      <c r="X229" s="285"/>
    </row>
    <row r="230" spans="1:24" s="21" customFormat="1" ht="12.75" customHeight="1">
      <c r="A230" s="288">
        <f>IF(A43="","",A43)</f>
      </c>
      <c r="B230" s="290"/>
      <c r="C230" s="288">
        <f>IF(C43="","",C43)</f>
      </c>
      <c r="D230" s="289"/>
      <c r="E230" s="289">
        <f>IF(E43="","",E43)</f>
      </c>
      <c r="F230" s="289"/>
      <c r="G230" s="289">
        <f>IF(G43="","",G43)</f>
      </c>
      <c r="H230" s="305">
        <f>IF(H43="","",H43)</f>
      </c>
      <c r="I230" s="306">
        <f>IF(I43="","",I43)</f>
      </c>
      <c r="J230" s="138">
        <f>IF(J43="","",J43)</f>
      </c>
      <c r="K230" s="297">
        <f>IF(K43="","",K43)</f>
      </c>
      <c r="L230" s="299"/>
      <c r="M230" s="300">
        <f>IF(M43="","",M43)</f>
      </c>
      <c r="N230" s="140">
        <f>IF(N43="","",N43)</f>
      </c>
      <c r="O230" s="297">
        <f>IF(O43="","",O43)</f>
      </c>
      <c r="P230" s="298"/>
      <c r="Q230" s="298">
        <f>IF(Q43="","",Q43)</f>
      </c>
      <c r="R230" s="299"/>
      <c r="S230" s="299">
        <f>IF(S43="","",S43)</f>
      </c>
      <c r="T230" s="300"/>
      <c r="U230" s="303">
        <f>IF(U43="","",U43)</f>
      </c>
      <c r="V230" s="304"/>
      <c r="W230" s="301">
        <f>IF(W43="","",W43)</f>
      </c>
      <c r="X230" s="302"/>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password="C95B"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conditionalFormatting sqref="B57:E57">
    <cfRule type="expression" priority="45" dxfId="2" stopIfTrue="1">
      <formula>$B57&lt;&gt;""</formula>
    </cfRule>
  </conditionalFormatting>
  <conditionalFormatting sqref="A48 H57:K57 A29:C29 J29 F29 A32 P29 G32 K32">
    <cfRule type="expression" priority="51" dxfId="2" stopIfTrue="1">
      <formula>A29&lt;&gt;""</formula>
    </cfRule>
  </conditionalFormatting>
  <conditionalFormatting sqref="G53:K53 G57:K57 G54:G56">
    <cfRule type="expression" priority="46" dxfId="239" stopIfTrue="1">
      <formula>$K$52&lt;&gt;"SIM"</formula>
    </cfRule>
  </conditionalFormatting>
  <conditionalFormatting sqref="A40:X43">
    <cfRule type="expression" priority="59" dxfId="33" stopIfTrue="1">
      <formula>OR(TipoOrçamento="BASE",TipoOrçamento="REPROGRAMADONPL")</formula>
    </cfRule>
    <cfRule type="expression" priority="60" dxfId="2" stopIfTrue="1">
      <formula>A40&lt;&gt;""</formula>
    </cfRule>
  </conditionalFormatting>
  <conditionalFormatting sqref="A35:X38">
    <cfRule type="expression" priority="61" dxfId="33" stopIfTrue="1">
      <formula>OR(TipoOrçamento="LICITADO",TipoOrçamento="REPROGRAMADOAC")</formula>
    </cfRule>
    <cfRule type="expression" priority="62" dxfId="2" stopIfTrue="1">
      <formula>A35&lt;&gt;""</formula>
    </cfRule>
  </conditionalFormatting>
  <conditionalFormatting sqref="Q32">
    <cfRule type="expression" priority="4" dxfId="2" stopIfTrue="1">
      <formula>Q32&lt;&gt;""</formula>
    </cfRule>
  </conditionalFormatting>
  <conditionalFormatting sqref="B54:E55 B56">
    <cfRule type="expression" priority="3" dxfId="2" stopIfTrue="1">
      <formula>$B54&lt;&gt;""</formula>
    </cfRule>
  </conditionalFormatting>
  <conditionalFormatting sqref="H54:K54 H55:H56">
    <cfRule type="expression" priority="2" dxfId="2" stopIfTrue="1">
      <formula>H54&lt;&gt;""</formula>
    </cfRule>
  </conditionalFormatting>
  <conditionalFormatting sqref="H54:K54 H55:H56">
    <cfRule type="expression" priority="1" dxfId="239" stopIfTrue="1">
      <formula>$K$52&lt;&gt;"SIM"</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10;Formato 0.000.000-00/0000." sqref="A29:B29"/>
  </dataValidations>
  <printOptions/>
  <pageMargins left="0.78740157480315" right="0.78740157480315" top="0.78740157480315" bottom="0.78740157480315" header="5.70866141732284" footer="0.590551181102362"/>
  <pageSetup fitToHeight="1" fitToWidth="1"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sheetPr codeName="Plan4">
    <tabColor rgb="FFFFFF00"/>
    <pageSetUpPr fitToPage="1"/>
  </sheetPr>
  <dimension ref="A1:AE60"/>
  <sheetViews>
    <sheetView showGridLines="0" zoomScaleSheetLayoutView="100" zoomScalePageLayoutView="70" workbookViewId="0" topLeftCell="I1">
      <selection activeCell="Q11" sqref="Q11:R11"/>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8" t="s">
        <v>151</v>
      </c>
      <c r="J4" s="249"/>
      <c r="K4" s="238" t="s">
        <v>174</v>
      </c>
      <c r="L4" s="239"/>
      <c r="M4" s="239"/>
      <c r="N4" s="239"/>
      <c r="O4" s="239"/>
      <c r="P4" s="239"/>
      <c r="Q4" s="239"/>
      <c r="R4" s="249"/>
    </row>
    <row r="5" spans="1:19" ht="12.75" customHeight="1">
      <c r="A5" s="52" t="str">
        <f>A4</f>
        <v>Construção e Reforma de Edifícios</v>
      </c>
      <c r="B5" s="54" t="s">
        <v>32</v>
      </c>
      <c r="C5" s="52" t="str">
        <f t="shared" si="0"/>
        <v>Construção e Reforma de Edifícios-DF</v>
      </c>
      <c r="E5" s="55">
        <v>0.0059</v>
      </c>
      <c r="F5" s="55">
        <v>0.0123</v>
      </c>
      <c r="G5" s="55">
        <v>0.0139</v>
      </c>
      <c r="I5" s="341" t="str">
        <f>DADOS!A29</f>
        <v>1056086-44</v>
      </c>
      <c r="J5" s="342"/>
      <c r="K5" s="343" t="str">
        <f>DADOS!A32</f>
        <v>PREFEITURA MUNICIPAL DE NAVIRAÍ</v>
      </c>
      <c r="L5" s="344"/>
      <c r="M5" s="344"/>
      <c r="N5" s="344"/>
      <c r="O5" s="344"/>
      <c r="P5" s="344"/>
      <c r="Q5" s="344"/>
      <c r="R5" s="345"/>
      <c r="S5" s="57"/>
    </row>
    <row r="6" spans="1:18" ht="6" customHeight="1">
      <c r="A6" s="52" t="str">
        <f>A5</f>
        <v>Construção e Reforma de Edifícios</v>
      </c>
      <c r="B6" s="54" t="s">
        <v>165</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8" t="s">
        <v>0</v>
      </c>
      <c r="J7" s="239"/>
      <c r="K7" s="239"/>
      <c r="L7" s="239"/>
      <c r="M7" s="239"/>
      <c r="N7" s="239"/>
      <c r="O7" s="239"/>
      <c r="P7" s="239"/>
      <c r="Q7" s="239"/>
      <c r="R7" s="249"/>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6" t="str">
        <f>DADOS!P29</f>
        <v>PAVIMENTAÇÃO ASFÁLTICA COM GUIAS, SARJETAS E PASSEIO PÚBLICO NAS SEGUINTES RUAS FLÓRIDA, GLÓRIA, LÍDIA, MARÍLIA E DILMA NO MUNICÍPIO  DE NAVIRAÍ - MS</v>
      </c>
      <c r="J8" s="346"/>
      <c r="K8" s="346"/>
      <c r="L8" s="346"/>
      <c r="M8" s="346"/>
      <c r="N8" s="346"/>
      <c r="O8" s="346"/>
      <c r="P8" s="346"/>
      <c r="Q8" s="346"/>
      <c r="R8" s="346"/>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8" t="s">
        <v>35</v>
      </c>
      <c r="J10" s="239"/>
      <c r="K10" s="239"/>
      <c r="L10" s="239"/>
      <c r="M10" s="239"/>
      <c r="N10" s="239"/>
      <c r="O10" s="239"/>
      <c r="P10" s="239"/>
      <c r="Q10" s="238" t="s">
        <v>13</v>
      </c>
      <c r="R10" s="249"/>
    </row>
    <row r="11" spans="1:18" ht="12.75">
      <c r="A11" s="52" t="s">
        <v>34</v>
      </c>
      <c r="B11" s="54" t="s">
        <v>32</v>
      </c>
      <c r="C11" s="52" t="str">
        <f t="shared" si="0"/>
        <v>Construção de Praças Urbanas, Rodovias, Ferrovias e recapeamento e pavimentação de vias urbanas-DF</v>
      </c>
      <c r="E11" s="55">
        <v>0.0102</v>
      </c>
      <c r="F11" s="55">
        <v>0.0111</v>
      </c>
      <c r="G11" s="55">
        <v>0.0121</v>
      </c>
      <c r="I11" s="336" t="s">
        <v>34</v>
      </c>
      <c r="J11" s="337"/>
      <c r="K11" s="337"/>
      <c r="L11" s="337"/>
      <c r="M11" s="337"/>
      <c r="N11" s="337"/>
      <c r="O11" s="337"/>
      <c r="P11" s="338"/>
      <c r="Q11" s="339" t="str">
        <f>DADOS!$C$38</f>
        <v>Sim</v>
      </c>
      <c r="R11" s="340"/>
    </row>
    <row r="12" spans="1:7" ht="12.75">
      <c r="A12" s="52" t="s">
        <v>34</v>
      </c>
      <c r="B12" s="54" t="s">
        <v>165</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51" t="s">
        <v>36</v>
      </c>
      <c r="J13" s="351"/>
      <c r="K13" s="351"/>
      <c r="L13" s="351"/>
      <c r="M13" s="351"/>
      <c r="N13" s="351"/>
      <c r="O13" s="351"/>
      <c r="P13" s="351"/>
      <c r="Q13" s="348">
        <v>0.6</v>
      </c>
      <c r="R13" s="348"/>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49" t="s">
        <v>38</v>
      </c>
      <c r="J14" s="349"/>
      <c r="K14" s="349"/>
      <c r="L14" s="349"/>
      <c r="M14" s="349"/>
      <c r="N14" s="349"/>
      <c r="O14" s="349"/>
      <c r="P14" s="349"/>
      <c r="Q14" s="348">
        <v>0.05</v>
      </c>
      <c r="R14" s="348"/>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50" t="s">
        <v>39</v>
      </c>
      <c r="J16" s="350"/>
      <c r="K16" s="350"/>
      <c r="L16" s="350"/>
      <c r="M16" s="350" t="s">
        <v>40</v>
      </c>
      <c r="N16" s="353" t="s">
        <v>41</v>
      </c>
      <c r="O16" s="353" t="s">
        <v>42</v>
      </c>
      <c r="P16" s="352" t="s">
        <v>43</v>
      </c>
      <c r="Q16" s="352" t="s">
        <v>44</v>
      </c>
      <c r="R16" s="330" t="s">
        <v>45</v>
      </c>
      <c r="T16" s="327">
        <f>IF(V27,"Para BDI fora do intervalo estatístico, deve ser apresentado Relatório Técnico Circunstanciado justificando a adoção do percentual de cada parcela do BDI.","")</f>
      </c>
      <c r="U16" s="327"/>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50"/>
      <c r="J17" s="350"/>
      <c r="K17" s="350"/>
      <c r="L17" s="350"/>
      <c r="M17" s="350"/>
      <c r="N17" s="353"/>
      <c r="O17" s="353"/>
      <c r="P17" s="352"/>
      <c r="Q17" s="352"/>
      <c r="R17" s="330"/>
      <c r="T17" s="327"/>
      <c r="U17" s="327"/>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15" t="str">
        <f>IF($I$11=$A$59,"Encargos Sociais incidentes sobre a mão de obra","Administração Central")</f>
        <v>Administração Central</v>
      </c>
      <c r="J18" s="315"/>
      <c r="K18" s="315"/>
      <c r="L18" s="315"/>
      <c r="M18" s="60" t="str">
        <f>IF($I$11=$A$59,"K1","AC")</f>
        <v>AC</v>
      </c>
      <c r="N18" s="61">
        <v>0.03</v>
      </c>
      <c r="O18" s="62" t="s">
        <v>46</v>
      </c>
      <c r="P18" s="63">
        <f>VLOOKUP(CONCATENATE(I$11,"-",M18),$C$2:$G$49,3,FALSE)</f>
        <v>0.038</v>
      </c>
      <c r="Q18" s="63">
        <f>VLOOKUP(CONCATENATE(I$11,"-",M18),$C$2:$G$49,4,FALSE)</f>
        <v>0.0401</v>
      </c>
      <c r="R18" s="63">
        <f>VLOOKUP(CONCATENATE(I$11,"-",M18),$C$2:$G$49,5,FALSE)</f>
        <v>0.0467</v>
      </c>
      <c r="T18" s="327"/>
      <c r="U18" s="327"/>
      <c r="V18" s="108"/>
      <c r="W18" s="108"/>
      <c r="X18" s="108"/>
      <c r="Y18" s="108"/>
      <c r="Z18" s="108"/>
      <c r="AA18" s="108"/>
      <c r="AB18" s="108"/>
      <c r="AC18" s="108"/>
    </row>
    <row r="19" spans="1:29" ht="26.25" customHeight="1">
      <c r="A19" s="52" t="str">
        <f>A18</f>
        <v>Construção de Redes de Abastecimento de Água, Coleta de Esgoto</v>
      </c>
      <c r="B19" s="54" t="s">
        <v>165</v>
      </c>
      <c r="C19" s="52" t="str">
        <f t="shared" si="0"/>
        <v>Construção de Redes de Abastecimento de Água, Coleta de Esgoto-L</v>
      </c>
      <c r="E19" s="55">
        <v>0.0674</v>
      </c>
      <c r="F19" s="55">
        <v>0.08039999999999999</v>
      </c>
      <c r="G19" s="55">
        <v>0.094</v>
      </c>
      <c r="I19" s="315" t="str">
        <f>IF($I$11=$A$59,"Administração Central da empresa ou consultoria - overhead","Seguro e Garantia")</f>
        <v>Seguro e Garantia</v>
      </c>
      <c r="J19" s="315"/>
      <c r="K19" s="315"/>
      <c r="L19" s="315"/>
      <c r="M19" s="60" t="str">
        <f>IF($I$11=$A$59,"K2","SG")</f>
        <v>SG</v>
      </c>
      <c r="N19" s="61">
        <v>0.009</v>
      </c>
      <c r="O19" s="62" t="s">
        <v>46</v>
      </c>
      <c r="P19" s="63">
        <f>VLOOKUP(CONCATENATE(I$11,"-",M19),$C$2:$G$49,3,FALSE)</f>
        <v>0.0032</v>
      </c>
      <c r="Q19" s="63">
        <f>VLOOKUP(CONCATENATE(I$11,"-",M19),$C$2:$G$49,4,FALSE)</f>
        <v>0.004</v>
      </c>
      <c r="R19" s="63">
        <f>VLOOKUP(CONCATENATE(I$11,"-",M19),$C$2:$G$49,5,FALSE)</f>
        <v>0.0074</v>
      </c>
      <c r="T19" s="327"/>
      <c r="U19" s="327"/>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15" t="str">
        <f>IF($I$11=$A$59,"","Risco")</f>
        <v>Risco</v>
      </c>
      <c r="J20" s="315"/>
      <c r="K20" s="315"/>
      <c r="L20" s="315"/>
      <c r="M20" s="60" t="str">
        <f>IF($I$11=$A$59,"","R")</f>
        <v>R</v>
      </c>
      <c r="N20" s="61">
        <v>0.0097</v>
      </c>
      <c r="O20" s="62" t="s">
        <v>46</v>
      </c>
      <c r="P20" s="63">
        <f>VLOOKUP(CONCATENATE(I$11,"-",M20),$C$2:$G$49,3,FALSE)</f>
        <v>0.005</v>
      </c>
      <c r="Q20" s="63">
        <f>VLOOKUP(CONCATENATE(I$11,"-",M20),$C$2:$G$49,4,FALSE)</f>
        <v>0.005600000000000001</v>
      </c>
      <c r="R20" s="63">
        <f>VLOOKUP(CONCATENATE(I$11,"-",M20),$C$2:$G$49,5,FALSE)</f>
        <v>0.0097</v>
      </c>
      <c r="T20" s="327"/>
      <c r="U20" s="327"/>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15" t="str">
        <f>IF($I$11=$A$59,"","Despesas Financeiras")</f>
        <v>Despesas Financeiras</v>
      </c>
      <c r="J21" s="315"/>
      <c r="K21" s="315"/>
      <c r="L21" s="315"/>
      <c r="M21" s="60" t="str">
        <f>IF($I$11=$A$59,"","DF")</f>
        <v>DF</v>
      </c>
      <c r="N21" s="61">
        <v>0.009</v>
      </c>
      <c r="O21" s="62" t="s">
        <v>46</v>
      </c>
      <c r="P21" s="63">
        <f>VLOOKUP(CONCATENATE(I$11,"-",M21),$C$2:$G$49,3,FALSE)</f>
        <v>0.0102</v>
      </c>
      <c r="Q21" s="63">
        <f>VLOOKUP(CONCATENATE(I$11,"-",M21),$C$2:$G$49,4,FALSE)</f>
        <v>0.0111</v>
      </c>
      <c r="R21" s="63">
        <f>VLOOKUP(CONCATENATE(I$11,"-",M21),$C$2:$G$49,5,FALSE)</f>
        <v>0.0121</v>
      </c>
      <c r="T21" s="327"/>
      <c r="U21" s="327"/>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15" t="str">
        <f>IF($I$11=$A$59,"Margem bruta da empresa de consultoria","Lucro")</f>
        <v>Lucro</v>
      </c>
      <c r="J22" s="315"/>
      <c r="K22" s="315"/>
      <c r="L22" s="315"/>
      <c r="M22" s="60" t="str">
        <f>IF($I$11=$A$59,"K3","L")</f>
        <v>L</v>
      </c>
      <c r="N22" s="61">
        <v>0.079</v>
      </c>
      <c r="O22" s="62" t="s">
        <v>46</v>
      </c>
      <c r="P22" s="63">
        <f>VLOOKUP(CONCATENATE(I$11,"-",M22),$C$2:$G$49,3,FALSE)</f>
        <v>0.0664</v>
      </c>
      <c r="Q22" s="63">
        <f>VLOOKUP(CONCATENATE(I$11,"-",M22),$C$2:$G$49,4,FALSE)</f>
        <v>0.073</v>
      </c>
      <c r="R22" s="63">
        <f>VLOOKUP(CONCATENATE(I$11,"-",M22),$C$2:$G$49,5,FALSE)</f>
        <v>0.08689999999999999</v>
      </c>
      <c r="T22" s="327"/>
      <c r="U22" s="327"/>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29" t="s">
        <v>48</v>
      </c>
      <c r="J23" s="329"/>
      <c r="K23" s="329"/>
      <c r="L23" s="329"/>
      <c r="M23" s="60" t="s">
        <v>49</v>
      </c>
      <c r="N23" s="61">
        <v>0.0365</v>
      </c>
      <c r="O23" s="62" t="s">
        <v>46</v>
      </c>
      <c r="P23" s="63">
        <v>0.0365</v>
      </c>
      <c r="Q23" s="63">
        <v>0.0365</v>
      </c>
      <c r="R23" s="63">
        <v>0.0365</v>
      </c>
      <c r="T23" s="327"/>
      <c r="U23" s="327"/>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15" t="s">
        <v>50</v>
      </c>
      <c r="J24" s="315"/>
      <c r="K24" s="315"/>
      <c r="L24" s="315"/>
      <c r="M24" s="60" t="s">
        <v>51</v>
      </c>
      <c r="N24" s="63">
        <f>IF($I$11&lt;&gt;$A$58,Q14*Q13,0)</f>
        <v>0.03</v>
      </c>
      <c r="O24" s="62" t="s">
        <v>46</v>
      </c>
      <c r="P24" s="63">
        <v>0</v>
      </c>
      <c r="Q24" s="63">
        <v>0.025</v>
      </c>
      <c r="R24" s="63">
        <v>0.05</v>
      </c>
      <c r="T24" s="327"/>
      <c r="U24" s="327"/>
    </row>
    <row r="25" spans="1:18" ht="26.25" customHeight="1">
      <c r="A25" s="52" t="str">
        <f>A24</f>
        <v>Construção e Manutenção de Estações e Redes de Distribuição de Energia Elétrica</v>
      </c>
      <c r="B25" s="54" t="s">
        <v>165</v>
      </c>
      <c r="C25" s="52" t="str">
        <f t="shared" si="0"/>
        <v>Construção e Manutenção de Estações e Redes de Distribuição de Energia Elétrica-L</v>
      </c>
      <c r="E25" s="55">
        <v>0.08</v>
      </c>
      <c r="F25" s="55">
        <v>0.08310000000000001</v>
      </c>
      <c r="G25" s="55">
        <v>0.0951</v>
      </c>
      <c r="I25" s="315" t="s">
        <v>117</v>
      </c>
      <c r="J25" s="315"/>
      <c r="K25" s="315"/>
      <c r="L25" s="315"/>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15" t="s">
        <v>53</v>
      </c>
      <c r="J26" s="315"/>
      <c r="K26" s="315"/>
      <c r="L26" s="315"/>
      <c r="M26" s="65" t="s">
        <v>33</v>
      </c>
      <c r="N26" s="63">
        <f>IF($I$11=$A$58,0,ROUND((((1+N18+N19+N20)*(1+N21)*(1+N22)/(1-(N23+N24)))-1),4))</f>
        <v>0.2231</v>
      </c>
      <c r="O26" s="106" t="str">
        <f>IF(OR($I$11=$A$59,$I$11=$A$58,AND(N26&gt;=P26,N26&lt;=R26)),"OK","FORA DO INTERVALO")</f>
        <v>OK</v>
      </c>
      <c r="P26" s="63">
        <f>IF($I$11=$A$58,0,VLOOKUP(CONCATENATE($I$11,"-",$M26),$C$2:$G$49,3,FALSE))</f>
        <v>0.196</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16" t="s">
        <v>55</v>
      </c>
      <c r="J27" s="316"/>
      <c r="K27" s="316"/>
      <c r="L27" s="316"/>
      <c r="M27" s="66" t="s">
        <v>56</v>
      </c>
      <c r="N27" s="67">
        <f>IF($I$11=$A$58,0,ROUND((((1+N18+N19+N20)*(1+N21)*(1+N22)/(1-(N23+N24+N25)))-1),4))</f>
        <v>0.285</v>
      </c>
      <c r="O27" s="110" t="str">
        <f>IF(Q11&lt;&gt;"Sim","",O26)</f>
        <v>OK</v>
      </c>
      <c r="P27" s="317"/>
      <c r="Q27" s="317"/>
      <c r="R27" s="317"/>
      <c r="T27" s="107"/>
      <c r="V27" s="111" t="b">
        <f>AND(COUNTA(N18:N23)=6,O26&lt;&gt;"ok",NOT(V29))</f>
        <v>0</v>
      </c>
      <c r="W27" s="52" t="s">
        <v>119</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f>IF(V29,"X","")</f>
      </c>
      <c r="J29" s="314" t="s">
        <v>118</v>
      </c>
      <c r="K29" s="314"/>
      <c r="L29" s="314"/>
      <c r="M29" s="314"/>
      <c r="N29" s="314"/>
      <c r="O29" s="314"/>
      <c r="P29" s="314"/>
      <c r="Q29" s="314"/>
      <c r="R29" s="314"/>
      <c r="V29" s="111" t="b">
        <v>0</v>
      </c>
      <c r="W29" s="52" t="s">
        <v>120</v>
      </c>
    </row>
    <row r="30" spans="2:22" ht="7.5" customHeight="1">
      <c r="B30" s="54"/>
      <c r="E30" s="55"/>
      <c r="F30" s="55"/>
      <c r="G30" s="55"/>
      <c r="V30" s="111"/>
    </row>
    <row r="31" spans="2:18" ht="18.75" customHeight="1">
      <c r="B31" s="54"/>
      <c r="E31" s="55"/>
      <c r="F31" s="55"/>
      <c r="G31" s="55"/>
      <c r="I31" s="319" t="s">
        <v>61</v>
      </c>
      <c r="J31" s="319"/>
      <c r="K31" s="319"/>
      <c r="L31" s="319"/>
      <c r="M31" s="319"/>
      <c r="N31" s="319"/>
      <c r="O31" s="319"/>
      <c r="P31" s="319"/>
      <c r="Q31" s="319"/>
      <c r="R31" s="319"/>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35" t="str">
        <f>IF(Q11="Sim","BDI.DES =","BDI.PAD =")</f>
        <v>BDI.DES =</v>
      </c>
      <c r="M32" s="333" t="str">
        <f>IF($I$11=$A$59,"(1+K1+K2)*(1+K3)","(1+AC + S + R + G)*(1 + DF)*(1+L)")</f>
        <v>(1+AC + S + R + G)*(1 + DF)*(1+L)</v>
      </c>
      <c r="N32" s="333"/>
      <c r="O32" s="333"/>
      <c r="P32" s="331" t="s">
        <v>109</v>
      </c>
      <c r="Q32" s="100"/>
      <c r="R32" s="100"/>
    </row>
    <row r="33" spans="1:18" ht="27" customHeight="1">
      <c r="A33" s="52" t="str">
        <f>A32</f>
        <v>Obras Portuárias, Marítimas e Fluviais</v>
      </c>
      <c r="B33" s="54" t="s">
        <v>165</v>
      </c>
      <c r="C33" s="52" t="str">
        <f t="shared" si="0"/>
        <v>Obras Portuárias, Marítimas e Fluviais-L</v>
      </c>
      <c r="E33" s="55">
        <v>0.07139999999999999</v>
      </c>
      <c r="F33" s="55">
        <v>0.084</v>
      </c>
      <c r="G33" s="55">
        <v>0.1043</v>
      </c>
      <c r="I33" s="100"/>
      <c r="J33" s="100"/>
      <c r="K33" s="100"/>
      <c r="L33" s="335"/>
      <c r="M33" s="334" t="str">
        <f>IF(Q11="Sim","(1-CP-ISS-CRPB)","(1-CP-ISS)")</f>
        <v>(1-CP-ISS-CRPB)</v>
      </c>
      <c r="N33" s="334"/>
      <c r="O33" s="334"/>
      <c r="P33" s="332"/>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0"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60%, com a respectiva alíquota de 5%.</v>
      </c>
      <c r="J35" s="320"/>
      <c r="K35" s="320"/>
      <c r="L35" s="320"/>
      <c r="M35" s="320"/>
      <c r="N35" s="320"/>
      <c r="O35" s="320"/>
      <c r="P35" s="320"/>
      <c r="Q35" s="320"/>
      <c r="R35" s="320"/>
    </row>
    <row r="36" spans="2:7" ht="11.25" customHeight="1">
      <c r="B36" s="59"/>
      <c r="E36" s="55"/>
      <c r="F36" s="55"/>
      <c r="G36" s="55"/>
    </row>
    <row r="37" spans="2:18" ht="52.5" customHeight="1">
      <c r="B37" s="59"/>
      <c r="E37" s="55"/>
      <c r="F37" s="55"/>
      <c r="G37" s="55"/>
      <c r="I37" s="320"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20"/>
      <c r="K37" s="320"/>
      <c r="L37" s="320"/>
      <c r="M37" s="320"/>
      <c r="N37" s="320"/>
      <c r="O37" s="320"/>
      <c r="P37" s="320"/>
      <c r="Q37" s="320"/>
      <c r="R37" s="320"/>
    </row>
    <row r="38" spans="1:7" ht="18" customHeight="1">
      <c r="A38" s="52" t="s">
        <v>138</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22"/>
      <c r="J40" s="323"/>
      <c r="K40" s="323"/>
      <c r="L40" s="323"/>
      <c r="M40" s="323"/>
      <c r="N40" s="323"/>
      <c r="O40" s="323"/>
      <c r="P40" s="323"/>
      <c r="Q40" s="323"/>
      <c r="R40" s="324"/>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165</v>
      </c>
      <c r="C42" s="52" t="str">
        <f t="shared" si="0"/>
        <v>Fornecimento de Materiais e Equipamentos (aquisição indireta - em conjunto com licitação de obras)-L</v>
      </c>
      <c r="E42" s="55">
        <v>0.035</v>
      </c>
      <c r="F42" s="55">
        <v>0.051100000000000007</v>
      </c>
      <c r="G42" s="55">
        <v>0.0622</v>
      </c>
      <c r="I42" s="328" t="str">
        <f>PO!K53</f>
        <v>NAVIRAÍ - MS</v>
      </c>
      <c r="J42" s="328"/>
      <c r="K42" s="328"/>
      <c r="L42" s="328"/>
      <c r="O42" s="321">
        <f>PO!K56</f>
        <v>43966</v>
      </c>
      <c r="P42" s="321"/>
      <c r="Q42" s="321"/>
      <c r="R42" s="321"/>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47" t="s">
        <v>121</v>
      </c>
      <c r="J43" s="347"/>
      <c r="K43" s="347"/>
      <c r="L43" s="347"/>
      <c r="N43" s="68"/>
      <c r="O43" s="144" t="s">
        <v>122</v>
      </c>
      <c r="P43" s="145"/>
      <c r="Q43" s="145"/>
      <c r="R43" s="145"/>
    </row>
    <row r="44" spans="1:7" ht="12.75">
      <c r="A44" s="52" t="s">
        <v>59</v>
      </c>
      <c r="B44" s="54" t="s">
        <v>105</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106</v>
      </c>
      <c r="C45" s="52" t="str">
        <f t="shared" si="0"/>
        <v>Estudos e Projetos, Planos e Gerenciamento e outros correlatos-K2</v>
      </c>
      <c r="E45" s="55" t="s">
        <v>46</v>
      </c>
      <c r="F45" s="55">
        <v>0.2</v>
      </c>
      <c r="G45" s="55" t="s">
        <v>46</v>
      </c>
      <c r="I45" s="318"/>
      <c r="J45" s="318"/>
      <c r="K45" s="318"/>
      <c r="L45" s="318"/>
      <c r="M45" s="69"/>
      <c r="N45" s="69"/>
      <c r="O45" s="318"/>
      <c r="P45" s="318"/>
      <c r="Q45" s="318"/>
      <c r="R45" s="318"/>
    </row>
    <row r="46" spans="1:18" ht="12.75">
      <c r="A46" s="52" t="str">
        <f>A45</f>
        <v>Estudos e Projetos, Planos e Gerenciamento e outros correlatos</v>
      </c>
      <c r="B46" s="54" t="s">
        <v>107</v>
      </c>
      <c r="C46" s="52" t="str">
        <f t="shared" si="0"/>
        <v>Estudos e Projetos, Planos e Gerenciamento e outros correlatos-</v>
      </c>
      <c r="E46" s="55" t="s">
        <v>46</v>
      </c>
      <c r="F46" s="55" t="s">
        <v>46</v>
      </c>
      <c r="G46" s="55" t="s">
        <v>46</v>
      </c>
      <c r="I46" s="325" t="s">
        <v>57</v>
      </c>
      <c r="J46" s="325"/>
      <c r="K46" s="325"/>
      <c r="L46" s="325"/>
      <c r="M46" s="70"/>
      <c r="N46" s="70"/>
      <c r="O46" s="325" t="s">
        <v>58</v>
      </c>
      <c r="P46" s="325"/>
      <c r="Q46" s="325"/>
      <c r="R46" s="325"/>
    </row>
    <row r="47" spans="1:18" ht="14.25">
      <c r="A47" s="52" t="str">
        <f>A46</f>
        <v>Estudos e Projetos, Planos e Gerenciamento e outros correlatos</v>
      </c>
      <c r="B47" s="54" t="s">
        <v>107</v>
      </c>
      <c r="C47" s="52" t="str">
        <f t="shared" si="0"/>
        <v>Estudos e Projetos, Planos e Gerenciamento e outros correlatos-</v>
      </c>
      <c r="E47" s="55" t="s">
        <v>46</v>
      </c>
      <c r="F47" s="55" t="s">
        <v>46</v>
      </c>
      <c r="G47" s="55" t="s">
        <v>46</v>
      </c>
      <c r="I47" s="29" t="s">
        <v>141</v>
      </c>
      <c r="J47" s="313">
        <f>DADOS!B54</f>
        <v>0</v>
      </c>
      <c r="K47" s="313"/>
      <c r="L47" s="313"/>
      <c r="M47" s="71"/>
      <c r="N47" s="71"/>
      <c r="O47" s="29" t="s">
        <v>141</v>
      </c>
      <c r="P47" s="326" t="s">
        <v>236</v>
      </c>
      <c r="Q47" s="326"/>
      <c r="R47" s="326"/>
    </row>
    <row r="48" spans="1:18" ht="14.25">
      <c r="A48" s="52" t="str">
        <f>A47</f>
        <v>Estudos e Projetos, Planos e Gerenciamento e outros correlatos</v>
      </c>
      <c r="B48" s="54" t="s">
        <v>108</v>
      </c>
      <c r="C48" s="52" t="str">
        <f t="shared" si="0"/>
        <v>Estudos e Projetos, Planos e Gerenciamento e outros correlatos-K3</v>
      </c>
      <c r="E48" s="55" t="s">
        <v>46</v>
      </c>
      <c r="F48" s="55">
        <v>0.12</v>
      </c>
      <c r="G48" s="55" t="s">
        <v>46</v>
      </c>
      <c r="I48" s="29" t="s">
        <v>17</v>
      </c>
      <c r="J48" s="313">
        <f>DADOS!B55</f>
        <v>0</v>
      </c>
      <c r="K48" s="313"/>
      <c r="L48" s="313"/>
      <c r="M48" s="71"/>
      <c r="N48" s="71"/>
      <c r="O48" s="29" t="s">
        <v>60</v>
      </c>
      <c r="P48" s="326" t="s">
        <v>235</v>
      </c>
      <c r="Q48" s="326"/>
      <c r="R48" s="326"/>
    </row>
    <row r="49" spans="1:18" ht="14.25">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3">
        <f>DADOS!B56</f>
        <v>0</v>
      </c>
      <c r="K49" s="313"/>
      <c r="L49" s="313"/>
      <c r="M49" s="71"/>
      <c r="N49" s="71"/>
      <c r="O49" s="71"/>
      <c r="P49" s="71"/>
      <c r="Q49" s="71"/>
      <c r="R49" s="71"/>
    </row>
    <row r="50" spans="9:12" ht="12.75">
      <c r="I50" s="29" t="str">
        <f>DADOS!A57</f>
        <v>CNPJ:</v>
      </c>
      <c r="J50" s="313">
        <f>DADOS!B57</f>
        <v>0</v>
      </c>
      <c r="K50" s="313"/>
      <c r="L50" s="313"/>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138</v>
      </c>
    </row>
    <row r="58" ht="12.75" hidden="1">
      <c r="A58" s="52" t="s">
        <v>139</v>
      </c>
    </row>
    <row r="59" ht="12.75" hidden="1">
      <c r="A59" s="52" t="s">
        <v>59</v>
      </c>
    </row>
    <row r="60" spans="1:7" ht="14.25" hidden="1">
      <c r="A60" s="72"/>
      <c r="B60" s="71"/>
      <c r="C60" s="71"/>
      <c r="D60" s="71"/>
      <c r="E60" s="71"/>
      <c r="F60" s="71"/>
      <c r="G60" s="71"/>
    </row>
  </sheetData>
  <sheetProtection password="C95B"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conditionalFormatting sqref="O42">
    <cfRule type="expression" priority="6" dxfId="232" stopIfTrue="1">
      <formula>$O$42=""</formula>
    </cfRule>
  </conditionalFormatting>
  <conditionalFormatting sqref="O18:O27">
    <cfRule type="expression" priority="11" dxfId="250" stopIfTrue="1">
      <formula>AND(O18&lt;&gt;"OK",O18&lt;&gt;"-",O18&lt;&gt;"")</formula>
    </cfRule>
    <cfRule type="cellIs" priority="12" dxfId="251" operator="equal" stopIfTrue="1">
      <formula>"OK"</formula>
    </cfRule>
  </conditionalFormatting>
  <conditionalFormatting sqref="I26:N26">
    <cfRule type="expression" priority="10" dxfId="235" stopIfTrue="1">
      <formula>$Q$11="Não"</formula>
    </cfRule>
  </conditionalFormatting>
  <conditionalFormatting sqref="I27:N27">
    <cfRule type="expression" priority="9" dxfId="252" stopIfTrue="1">
      <formula>$Q$11="sim"</formula>
    </cfRule>
  </conditionalFormatting>
  <conditionalFormatting sqref="P27:R27">
    <cfRule type="expression" priority="8" dxfId="250" stopIfTrue="1">
      <formula>$Q$11="sim"</formula>
    </cfRule>
  </conditionalFormatting>
  <conditionalFormatting sqref="P47:R48">
    <cfRule type="expression" priority="7" dxfId="232" stopIfTrue="1">
      <formula>P47=""</formula>
    </cfRule>
  </conditionalFormatting>
  <conditionalFormatting sqref="I29:R29">
    <cfRule type="expression" priority="3" dxfId="231" stopIfTrue="1">
      <formula>AND(NOT($V$27),NOT($V$29))</formula>
    </cfRule>
  </conditionalFormatting>
  <conditionalFormatting sqref="P18:R26">
    <cfRule type="expression" priority="2" dxfId="230"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Plan1">
    <tabColor rgb="FFFFFF00"/>
    <pageSetUpPr fitToPage="1"/>
  </sheetPr>
  <dimension ref="A1:AA57"/>
  <sheetViews>
    <sheetView showGridLines="0" tabSelected="1" zoomScale="80" zoomScaleNormal="80" zoomScaleSheetLayoutView="100" zoomScalePageLayoutView="0" workbookViewId="0" topLeftCell="J1">
      <pane ySplit="12" topLeftCell="A13" activePane="bottomLeft" state="frozen"/>
      <selection pane="topLeft" activeCell="A1" sqref="A1"/>
      <selection pane="bottomLeft" activeCell="Y13" sqref="Y13:Y41"/>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75" customHeight="1">
      <c r="A1" s="79"/>
      <c r="B1" s="79"/>
      <c r="D1" s="117"/>
      <c r="E1" s="118"/>
      <c r="F1" s="79"/>
      <c r="G1" s="79"/>
      <c r="H1" s="79"/>
      <c r="I1" s="79"/>
      <c r="J1" s="80"/>
      <c r="K1" s="79"/>
      <c r="L1" s="79"/>
      <c r="M1" s="79"/>
      <c r="N1" s="99" t="s">
        <v>168</v>
      </c>
      <c r="O1" s="79"/>
      <c r="P1" s="81"/>
      <c r="Q1" s="79"/>
      <c r="R1" s="79"/>
      <c r="S1" s="79"/>
      <c r="T1" s="77" t="s">
        <v>166</v>
      </c>
      <c r="U1" s="4"/>
      <c r="V1" s="4"/>
      <c r="W1" s="4"/>
      <c r="X1" s="4"/>
      <c r="Y1" s="4"/>
      <c r="Z1" s="4"/>
      <c r="AA1" s="4"/>
    </row>
    <row r="2" spans="1:27" ht="12.75" customHeight="1">
      <c r="A2" s="4"/>
      <c r="B2" s="20" t="s">
        <v>158</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167</v>
      </c>
      <c r="U2" s="4"/>
      <c r="V2" s="4"/>
      <c r="W2" s="354" t="s">
        <v>182</v>
      </c>
      <c r="X2" s="354"/>
      <c r="Y2" s="4"/>
      <c r="Z2" s="4"/>
      <c r="AA2" s="4"/>
    </row>
    <row r="3" spans="1:27" ht="12.75" customHeight="1">
      <c r="A3" s="4"/>
      <c r="B3" s="4"/>
      <c r="D3" s="117"/>
      <c r="F3" s="5"/>
      <c r="G3" s="4"/>
      <c r="H3" s="4"/>
      <c r="I3" s="4"/>
      <c r="J3" s="4"/>
      <c r="K3" s="4"/>
      <c r="L3" s="4"/>
      <c r="M3" s="4"/>
      <c r="N3" s="131"/>
      <c r="O3" s="4"/>
      <c r="P3" s="4"/>
      <c r="Q3" s="4"/>
      <c r="R3" s="4"/>
      <c r="S3" s="4"/>
      <c r="T3" s="4"/>
      <c r="U3" s="4"/>
      <c r="V3" s="4"/>
      <c r="W3" s="211" t="s">
        <v>149</v>
      </c>
      <c r="X3" s="214" t="b">
        <v>1</v>
      </c>
      <c r="Y3" s="4"/>
      <c r="Z3" s="4"/>
      <c r="AA3" s="4"/>
    </row>
    <row r="4" spans="1:27" ht="24.75" customHeight="1">
      <c r="A4" s="4" t="s">
        <v>127</v>
      </c>
      <c r="B4" s="4"/>
      <c r="D4" s="117"/>
      <c r="F4" s="5"/>
      <c r="G4" s="4"/>
      <c r="H4" s="4"/>
      <c r="I4" s="4"/>
      <c r="J4" s="4"/>
      <c r="K4" s="4"/>
      <c r="L4" s="4"/>
      <c r="M4" s="4"/>
      <c r="N4" s="4"/>
      <c r="O4" s="4"/>
      <c r="P4" s="4"/>
      <c r="Q4" s="4"/>
      <c r="R4" s="4"/>
      <c r="S4" s="4"/>
      <c r="T4" s="4"/>
      <c r="U4" s="153" t="s">
        <v>189</v>
      </c>
      <c r="W4" s="211" t="s">
        <v>183</v>
      </c>
      <c r="X4" s="214" t="b">
        <v>1</v>
      </c>
      <c r="Y4" s="4"/>
      <c r="Z4" s="4"/>
      <c r="AA4" s="4"/>
    </row>
    <row r="5" spans="1:27" ht="24.75" customHeight="1">
      <c r="A5" s="9">
        <f>MAX($A$12:$A$42)</f>
        <v>3</v>
      </c>
      <c r="B5" s="4"/>
      <c r="D5" s="117"/>
      <c r="F5" s="5"/>
      <c r="G5" s="4"/>
      <c r="H5" s="4"/>
      <c r="I5" s="4"/>
      <c r="J5" s="4"/>
      <c r="K5" s="4"/>
      <c r="L5" s="4"/>
      <c r="M5" s="4"/>
      <c r="N5" s="4"/>
      <c r="O5" s="4"/>
      <c r="P5" s="4"/>
      <c r="Q5" s="4"/>
      <c r="R5" s="4"/>
      <c r="S5" s="4"/>
      <c r="T5" s="4"/>
      <c r="U5" s="119" t="str">
        <f ca="1">IF(COUNTIF($U$12:OFFSET($U$42,-1,0),"DESCRIÇÃO")+COUNTIF($U$12:OFFSET($U$42,-1,0),"UNIDADE")+COUNTIF($U$12:OFFSET($U$42,-1,0),"SEM VALOR")&gt;0,"NÃO OK","OK")</f>
        <v>NÃO OK</v>
      </c>
      <c r="V5" s="212" t="s">
        <v>107</v>
      </c>
      <c r="W5" s="211" t="s">
        <v>184</v>
      </c>
      <c r="X5" s="214" t="b">
        <v>1</v>
      </c>
      <c r="Y5" s="4"/>
      <c r="Z5" s="4"/>
      <c r="AA5" s="4"/>
    </row>
    <row r="6" spans="1:27" ht="24.75" customHeight="1">
      <c r="A6" s="4"/>
      <c r="B6" s="4"/>
      <c r="D6" s="117"/>
      <c r="F6" s="5"/>
      <c r="G6" s="4"/>
      <c r="H6" s="4"/>
      <c r="I6" s="4"/>
      <c r="J6" s="4"/>
      <c r="K6" s="82"/>
      <c r="L6" s="4"/>
      <c r="M6" s="4"/>
      <c r="N6" s="4"/>
      <c r="O6" s="4"/>
      <c r="P6" s="4"/>
      <c r="Q6" s="4"/>
      <c r="R6" s="4"/>
      <c r="S6" s="4"/>
      <c r="T6" s="4"/>
      <c r="U6" s="4"/>
      <c r="V6" s="4"/>
      <c r="W6" s="211" t="s">
        <v>185</v>
      </c>
      <c r="X6" s="214" t="b">
        <v>1</v>
      </c>
      <c r="Y6" s="4"/>
      <c r="Z6" s="4"/>
      <c r="AA6" s="4"/>
    </row>
    <row r="7" spans="1:27" ht="24.75" customHeight="1">
      <c r="A7" s="4"/>
      <c r="B7" s="4"/>
      <c r="C7" s="20"/>
      <c r="D7" s="117"/>
      <c r="E7" s="5"/>
      <c r="F7" s="5"/>
      <c r="G7" s="4"/>
      <c r="H7" s="4"/>
      <c r="I7" s="4"/>
      <c r="J7" s="4"/>
      <c r="K7" s="82"/>
      <c r="L7" s="4"/>
      <c r="M7" s="4"/>
      <c r="N7" s="4"/>
      <c r="O7" s="4"/>
      <c r="P7" s="4"/>
      <c r="Q7" s="4"/>
      <c r="R7" s="4"/>
      <c r="S7" s="4"/>
      <c r="T7" s="4"/>
      <c r="U7" s="4"/>
      <c r="V7" s="4"/>
      <c r="W7" s="211" t="s">
        <v>186</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124</v>
      </c>
      <c r="C10" s="74" t="s">
        <v>153</v>
      </c>
      <c r="D10" s="74" t="s">
        <v>154</v>
      </c>
      <c r="E10" s="74" t="s">
        <v>155</v>
      </c>
      <c r="F10" s="74" t="s">
        <v>156</v>
      </c>
      <c r="G10" s="74" t="s">
        <v>157</v>
      </c>
      <c r="H10" s="74" t="s">
        <v>125</v>
      </c>
      <c r="I10" s="74" t="s">
        <v>126</v>
      </c>
      <c r="J10" s="74" t="s">
        <v>3</v>
      </c>
      <c r="K10" s="74" t="s">
        <v>148</v>
      </c>
      <c r="L10" s="74" t="s">
        <v>147</v>
      </c>
      <c r="M10" s="74" t="s">
        <v>4</v>
      </c>
      <c r="N10" s="74" t="s">
        <v>143</v>
      </c>
      <c r="O10" s="75" t="s">
        <v>150</v>
      </c>
      <c r="P10" s="74" t="s">
        <v>149</v>
      </c>
      <c r="Q10" s="74" t="str">
        <f>IF(OR(TipoOrçamento="LICITADO",TipoOrçamento="REPROGRAMADOAC"),"Preço Unitário (R$)","Custo Unitário (R$)")</f>
        <v>Preço Unitário (R$)</v>
      </c>
      <c r="R10" s="74" t="s">
        <v>5</v>
      </c>
      <c r="S10" s="74" t="s">
        <v>152</v>
      </c>
      <c r="T10" s="74" t="s">
        <v>6</v>
      </c>
      <c r="U10" s="74" t="s">
        <v>160</v>
      </c>
      <c r="V10" s="116" t="s">
        <v>162</v>
      </c>
      <c r="W10" s="116" t="s">
        <v>123</v>
      </c>
      <c r="X10" s="116" t="s">
        <v>131</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IF(OR($A11="S",$A11=0),0,MATCH(0,OFFSET($B11,1,$A11,ROW($A$42)-ROW($A11)),0))</f>
        <v>0</v>
      </c>
      <c r="I11">
        <f ca="1">IF(OR($A11="S",$A11=0),0,MATCH(OFFSET($B11,0,$A11)+1,OFFSET($B11,1,$A11,ROW($A$42)-ROW($A11)),0))</f>
        <v>0</v>
      </c>
      <c r="J11" s="120" t="s">
        <v>103</v>
      </c>
      <c r="K11" s="162" t="e">
        <f>IF($A11=0,"-",CONCATENATE(C11&amp;".",IF(AND($A$5&gt;=2,$A11&gt;=2),D11&amp;".",""),IF(AND($A$5&gt;=3,$A11&gt;=3),E11&amp;".",""),IF(AND($A$5&gt;=4,$A11&gt;=4),F11&amp;".",""),IF($A11="S",G11&amp;".","")))</f>
        <v>#VALUE!</v>
      </c>
      <c r="L11" s="209"/>
      <c r="M11" s="209"/>
      <c r="N11" s="230">
        <f>IF($A11="S",Referencia.Descricao,"(digite a descrição aqui)")</f>
      </c>
      <c r="O11" s="229">
        <f>Referencia.Unidade</f>
      </c>
      <c r="P11" s="232">
        <f ca="1">OFFSET(PLQ!$E$12,ROW($P11)-ROW(P$12),0)</f>
        <v>0</v>
      </c>
      <c r="Q11" s="228"/>
      <c r="R11" s="231" t="s">
        <v>7</v>
      </c>
      <c r="S11" s="121">
        <f>IF($A11="S",IF($Q$10="Preço Unitário (R$)",PO.CustoUnitario,ROUND(PO.CustoUnitario*(1+$Z11),15-13*$X$6)),0)</f>
        <v>0</v>
      </c>
      <c r="T11" s="98">
        <f>IF($A11="S",VTOTAL1,IF($A11=0,0,ROUND(SomaAgrup,15-13*$X$7)))</f>
        <v>0</v>
      </c>
      <c r="U11" s="13" t="str">
        <f>IF($J11="","",IF($N11="","DESCRIÇÃO",IF(AND($J11="Serviço",$O11=""),"UNIDADE",IF($T11&lt;=0,"SEM VALOR",IF(AND($Y11&lt;&gt;"",$Q11&gt;$Y11),"ACIMA REF.","")))))</f>
        <v>DESCRIÇÃO</v>
      </c>
      <c r="V11" s="4">
        <f ca="1">IF(OR($A11=0,$A11="S",$A11&gt;CFF!$A$9),"",MAX(V$12:OFFSET(V11,-1,0))+1)</f>
      </c>
      <c r="W11" s="9" t="b">
        <f>IF(AND($J11="Serviço",$M11&lt;&gt;""),IF($L11="",$M11,CONCATENATE($L11,"-",$M11)))</f>
        <v>0</v>
      </c>
      <c r="X11" s="4" t="str">
        <f ca="1">IF(AND(Fonte&lt;&gt;"",Código&lt;&gt;""),MATCH(Fonte&amp;" "&amp;IF(Fonte="sinapi",SUBSTITUTE(SUBSTITUTE(Código,"/00","/"),"/0","/"),Código),INDIRECT("'[Referência "&amp;DATABASE&amp;".xls]Banco'!$a:$a"),0),"X")</f>
        <v>X</v>
      </c>
      <c r="Y11" s="121">
        <f>IF(Import.Desoneracao="sim",Referencia.Desonerado,Referencia.NaoDesonerado)</f>
        <v>0</v>
      </c>
      <c r="Z11" s="132">
        <f>ROUND(IF(ISNUMBER(R11),R11,IF(LEFT(R11,3)="BDI",HLOOKUP(R11,DADOS!$T$37:$X$38,2,FALSE),0)),15-11*$X$5)</f>
        <v>0.285</v>
      </c>
      <c r="AA11" s="4"/>
    </row>
    <row r="12" spans="1:27" ht="12.75">
      <c r="A12">
        <v>0</v>
      </c>
      <c r="B12">
        <f ca="1">COUNTA(OFFSET(B12,1,0):B$42)</f>
        <v>29</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SUMIF(OFFSET($J12,1,0,ROW(T42)-ROW(T12)-1),"Serviço",OFFSET(T12,1,0,ROW(T42)-ROW(T12)-1))</f>
        <v>0</v>
      </c>
      <c r="U12" s="13" t="str">
        <f>IF($N12=0,"DESCRIÇÃO","")</f>
        <v>DESCRIÇÃO</v>
      </c>
      <c r="V12" s="4">
        <v>0</v>
      </c>
      <c r="W12" s="4"/>
      <c r="X12" s="4"/>
      <c r="Y12" s="11"/>
      <c r="Z12" s="133"/>
      <c r="AA12" s="4"/>
    </row>
    <row r="13" spans="1:27" ht="25.5">
      <c r="A13">
        <f aca="true" t="shared" si="0" ref="A13:A29">CHOOSE(1+LOG(1+2*(J13="Meta")+4*(J13="Nível 2")+8*(J13="Nível 3")+16*(J13="Nível 4")+32*(J13="Serviço"),2),0,1,2,3,4,"S")</f>
        <v>1</v>
      </c>
      <c r="B13">
        <f aca="true" t="shared" si="1" ref="B13:B29">IF(OR(A13="S",A13=0),0,IF(ISERROR(I13),H13,SMALL(H13:I13,1)))</f>
        <v>29</v>
      </c>
      <c r="C13">
        <f aca="true" ca="1" t="shared" si="2" ref="C13:C29">IF($A13=1,OFFSET(C13,-1,0)+1,OFFSET(C13,-1,0))</f>
        <v>1</v>
      </c>
      <c r="D13">
        <f aca="true" ca="1" t="shared" si="3" ref="D13:D29">IF($A13=1,0,IF($A13=2,OFFSET(D13,-1,0)+1,OFFSET(D13,-1,0)))</f>
        <v>0</v>
      </c>
      <c r="E13">
        <f aca="true" ca="1" t="shared" si="4" ref="E13:E29">IF(AND($A13&lt;=2,$A13&lt;&gt;0),0,IF($A13=3,OFFSET(E13,-1,0)+1,OFFSET(E13,-1,0)))</f>
        <v>0</v>
      </c>
      <c r="F13">
        <f aca="true" ca="1" t="shared" si="5" ref="F13:F29">IF(AND($A13&lt;=3,$A13&lt;&gt;0),0,IF($A13=4,OFFSET(F13,-1,0)+1,OFFSET(F13,-1,0)))</f>
        <v>0</v>
      </c>
      <c r="G13">
        <f aca="true" ca="1" t="shared" si="6" ref="G13:G29">IF(AND($A13&lt;=4,$A13&lt;&gt;0),0,IF($A13="S",OFFSET(G13,-1,0)+1,OFFSET(G13,-1,0)))</f>
        <v>0</v>
      </c>
      <c r="H13">
        <f ca="1">IF(OR($A13="S",$A13=0),0,MATCH(0,OFFSET($B13,1,$A13,ROW($A$42)-ROW($A13)),0))</f>
        <v>29</v>
      </c>
      <c r="I13" t="e">
        <f ca="1">IF(OR($A13="S",$A13=0),0,MATCH(OFFSET($B13,0,$A13)+1,OFFSET($B13,1,$A13,ROW($A$42)-ROW($A13)),0))</f>
        <v>#N/A</v>
      </c>
      <c r="J13" s="164" t="s">
        <v>99</v>
      </c>
      <c r="K13" s="162" t="str">
        <f aca="true" t="shared" si="7" ref="K13:K29">IF($A13=0,"-",CONCATENATE(C13&amp;".",IF(AND($A$5&gt;=2,$A13&gt;=2),D13&amp;".",""),IF(AND($A$5&gt;=3,$A13&gt;=3),E13&amp;".",""),IF(AND($A$5&gt;=4,$A13&gt;=4),F13&amp;".",""),IF($A13="S",G13&amp;".","")))</f>
        <v>1.</v>
      </c>
      <c r="L13" s="393"/>
      <c r="M13" s="393"/>
      <c r="N13" s="394" t="s">
        <v>257</v>
      </c>
      <c r="O13" s="395" t="s">
        <v>107</v>
      </c>
      <c r="P13" s="232">
        <f ca="1">OFFSET(PLQ!$E$12,ROW($P13)-ROW(P$12),0)</f>
        <v>0</v>
      </c>
      <c r="Q13" s="228"/>
      <c r="R13" s="231" t="s">
        <v>7</v>
      </c>
      <c r="S13" s="121">
        <f aca="true" t="shared" si="8" ref="S13:S29">IF($A13="S",IF($Q$10="Preço Unitário (R$)",PO.CustoUnitario,ROUND(PO.CustoUnitario*(1+$Z13),15-13*$X$6)),0)</f>
        <v>0</v>
      </c>
      <c r="T13" s="98">
        <f aca="true" t="shared" si="9" ref="T13:T29">IF($A13="S",VTOTAL1,IF($A13=0,0,ROUND(SomaAgrup,15-13*$X$7)))</f>
        <v>0</v>
      </c>
      <c r="U13" s="13" t="str">
        <f aca="true" t="shared" si="10" ref="U13:U29">IF($J13="","",IF($N13="","DESCRIÇÃO",IF(AND($J13="Serviço",$O13=""),"UNIDADE",IF($T13&lt;=0,"SEM VALOR",IF(AND($Y13&lt;&gt;"",$Q13&gt;$Y13),"ACIMA REF.","")))))</f>
        <v>SEM VALOR</v>
      </c>
      <c r="V13" s="4">
        <f ca="1">IF(OR($A13=0,$A13="S",$A13&gt;CFF!$A$9),"",MAX(V$12:OFFSET(V13,-1,0))+1)</f>
        <v>1</v>
      </c>
      <c r="W13" s="9" t="b">
        <f aca="true" t="shared" si="11" ref="W13:W29">IF(AND($J13="Serviço",$M13&lt;&gt;""),IF($L13="",$M13,CONCATENATE($L13,"-",$M13)))</f>
        <v>0</v>
      </c>
      <c r="X13" s="4" t="str">
        <f aca="true" ca="1" t="shared" si="12" ref="X13:X29">IF(AND(Fonte&lt;&gt;"",Código&lt;&gt;""),MATCH(Fonte&amp;" "&amp;IF(Fonte="sinapi",SUBSTITUTE(SUBSTITUTE(Código,"/00","/"),"/0","/"),Código),INDIRECT("'[Referência "&amp;DATABASE&amp;".xls]Banco'!$a:$a"),0),"X")</f>
        <v>X</v>
      </c>
      <c r="Y13" s="121">
        <v>0</v>
      </c>
      <c r="Z13" s="132">
        <f>ROUND(IF(ISNUMBER(R13),R13,IF(LEFT(R13,3)="BDI",HLOOKUP(R13,DADOS!$T$37:$X$38,2,FALSE),0)),15-11*$X$5)</f>
        <v>0.285</v>
      </c>
      <c r="AA13" s="4"/>
    </row>
    <row r="14" spans="1:27" ht="12.75">
      <c r="A14">
        <f t="shared" si="0"/>
        <v>2</v>
      </c>
      <c r="B14">
        <f t="shared" si="1"/>
        <v>3</v>
      </c>
      <c r="C14">
        <f ca="1" t="shared" si="2"/>
        <v>1</v>
      </c>
      <c r="D14">
        <f ca="1" t="shared" si="3"/>
        <v>1</v>
      </c>
      <c r="E14">
        <f ca="1" t="shared" si="4"/>
        <v>0</v>
      </c>
      <c r="F14">
        <f ca="1" t="shared" si="5"/>
        <v>0</v>
      </c>
      <c r="G14">
        <f ca="1" t="shared" si="6"/>
        <v>0</v>
      </c>
      <c r="H14">
        <f ca="1">IF(OR($A14="S",$A14=0),0,MATCH(0,OFFSET($B14,1,$A14,ROW($A$42)-ROW($A14)),0))</f>
        <v>28</v>
      </c>
      <c r="I14">
        <f ca="1">IF(OR($A14="S",$A14=0),0,MATCH(OFFSET($B14,0,$A14)+1,OFFSET($B14,1,$A14,ROW($A$42)-ROW($A14)),0))</f>
        <v>3</v>
      </c>
      <c r="J14" s="392" t="s">
        <v>100</v>
      </c>
      <c r="K14" s="162" t="str">
        <f t="shared" si="7"/>
        <v>1.1.</v>
      </c>
      <c r="L14" s="393"/>
      <c r="M14" s="393"/>
      <c r="N14" s="394" t="s">
        <v>232</v>
      </c>
      <c r="O14" s="395" t="s">
        <v>107</v>
      </c>
      <c r="P14" s="232">
        <f ca="1">OFFSET(PLQ!$E$12,ROW($P14)-ROW(P$12),0)</f>
        <v>0</v>
      </c>
      <c r="Q14" s="228"/>
      <c r="R14" s="231" t="s">
        <v>7</v>
      </c>
      <c r="S14" s="121">
        <f t="shared" si="8"/>
        <v>0</v>
      </c>
      <c r="T14" s="98">
        <f t="shared" si="9"/>
        <v>0</v>
      </c>
      <c r="U14" s="13" t="str">
        <f t="shared" si="10"/>
        <v>SEM VALOR</v>
      </c>
      <c r="V14" s="4">
        <f ca="1">IF(OR($A14=0,$A14="S",$A14&gt;CFF!$A$9),"",MAX(V$12:OFFSET(V14,-1,0))+1)</f>
      </c>
      <c r="W14" s="9" t="b">
        <f t="shared" si="11"/>
        <v>0</v>
      </c>
      <c r="X14" s="4" t="str">
        <f ca="1" t="shared" si="12"/>
        <v>X</v>
      </c>
      <c r="Y14" s="121">
        <v>0</v>
      </c>
      <c r="Z14" s="132">
        <f>ROUND(IF(ISNUMBER(R14),R14,IF(LEFT(R14,3)="BDI",HLOOKUP(R14,DADOS!$T$37:$X$38,2,FALSE),0)),15-11*$X$5)</f>
        <v>0.285</v>
      </c>
      <c r="AA14" s="4"/>
    </row>
    <row r="15" spans="1:27" ht="12.75">
      <c r="A15" t="str">
        <f t="shared" si="0"/>
        <v>S</v>
      </c>
      <c r="B15">
        <f t="shared" si="1"/>
        <v>0</v>
      </c>
      <c r="C15">
        <f ca="1" t="shared" si="2"/>
        <v>1</v>
      </c>
      <c r="D15">
        <f ca="1" t="shared" si="3"/>
        <v>1</v>
      </c>
      <c r="E15">
        <f ca="1" t="shared" si="4"/>
        <v>0</v>
      </c>
      <c r="F15">
        <f ca="1" t="shared" si="5"/>
        <v>0</v>
      </c>
      <c r="G15">
        <f ca="1" t="shared" si="6"/>
        <v>1</v>
      </c>
      <c r="H15">
        <f ca="1">IF(OR($A15="S",$A15=0),0,MATCH(0,OFFSET($B15,1,$A15,ROW($A$42)-ROW($A15)),0))</f>
        <v>0</v>
      </c>
      <c r="I15">
        <f ca="1">IF(OR($A15="S",$A15=0),0,MATCH(OFFSET($B15,0,$A15)+1,OFFSET($B15,1,$A15,ROW($A$42)-ROW($A15)),0))</f>
        <v>0</v>
      </c>
      <c r="J15" s="392" t="s">
        <v>103</v>
      </c>
      <c r="K15" s="162" t="str">
        <f t="shared" si="7"/>
        <v>1.1.0.1.</v>
      </c>
      <c r="L15" s="393" t="s">
        <v>231</v>
      </c>
      <c r="M15" s="393" t="s">
        <v>263</v>
      </c>
      <c r="N15" s="394" t="s">
        <v>281</v>
      </c>
      <c r="O15" s="395" t="s">
        <v>234</v>
      </c>
      <c r="P15" s="232">
        <f ca="1">OFFSET(PLQ!$E$12,ROW($P15)-ROW(P$12),0)</f>
        <v>16</v>
      </c>
      <c r="Q15" s="228"/>
      <c r="R15" s="231" t="s">
        <v>7</v>
      </c>
      <c r="S15" s="121">
        <f t="shared" si="8"/>
        <v>0</v>
      </c>
      <c r="T15" s="98">
        <f t="shared" si="9"/>
        <v>0</v>
      </c>
      <c r="U15" s="13" t="str">
        <f t="shared" si="10"/>
        <v>SEM VALOR</v>
      </c>
      <c r="V15" s="4">
        <f ca="1">IF(OR($A15=0,$A15="S",$A15&gt;CFF!$A$9),"",MAX(V$12:OFFSET(V15,-1,0))+1)</f>
      </c>
      <c r="W15" s="9" t="str">
        <f t="shared" si="11"/>
        <v>SINAPI-74209/001</v>
      </c>
      <c r="X15" s="4">
        <f ca="1" t="shared" si="12"/>
        <v>294</v>
      </c>
      <c r="Y15" s="121">
        <v>470.84</v>
      </c>
      <c r="Z15" s="132">
        <f>ROUND(IF(ISNUMBER(R15),R15,IF(LEFT(R15,3)="BDI",HLOOKUP(R15,DADOS!$T$37:$X$38,2,FALSE),0)),15-11*$X$5)</f>
        <v>0.285</v>
      </c>
      <c r="AA15" s="4"/>
    </row>
    <row r="16" spans="1:27" ht="25.5">
      <c r="A16" t="str">
        <f t="shared" si="0"/>
        <v>S</v>
      </c>
      <c r="B16">
        <f t="shared" si="1"/>
        <v>0</v>
      </c>
      <c r="C16">
        <f ca="1" t="shared" si="2"/>
        <v>1</v>
      </c>
      <c r="D16">
        <f ca="1" t="shared" si="3"/>
        <v>1</v>
      </c>
      <c r="E16">
        <f ca="1" t="shared" si="4"/>
        <v>0</v>
      </c>
      <c r="F16">
        <f ca="1" t="shared" si="5"/>
        <v>0</v>
      </c>
      <c r="G16">
        <f ca="1" t="shared" si="6"/>
        <v>2</v>
      </c>
      <c r="H16">
        <f ca="1">IF(OR($A16="S",$A16=0),0,MATCH(0,OFFSET($B16,1,$A16,ROW($A$42)-ROW($A16)),0))</f>
        <v>0</v>
      </c>
      <c r="I16">
        <f ca="1">IF(OR($A16="S",$A16=0),0,MATCH(OFFSET($B16,0,$A16)+1,OFFSET($B16,1,$A16,ROW($A$42)-ROW($A16)),0))</f>
        <v>0</v>
      </c>
      <c r="J16" s="392" t="s">
        <v>103</v>
      </c>
      <c r="K16" s="162" t="str">
        <f t="shared" si="7"/>
        <v>1.1.0.2.</v>
      </c>
      <c r="L16" s="393" t="s">
        <v>231</v>
      </c>
      <c r="M16" s="393" t="s">
        <v>264</v>
      </c>
      <c r="N16" s="394" t="s">
        <v>282</v>
      </c>
      <c r="O16" s="395" t="s">
        <v>234</v>
      </c>
      <c r="P16" s="232">
        <f ca="1">OFFSET(PLQ!$E$12,ROW($P16)-ROW(P$12),0)</f>
        <v>9</v>
      </c>
      <c r="Q16" s="228"/>
      <c r="R16" s="231" t="s">
        <v>7</v>
      </c>
      <c r="S16" s="121">
        <f t="shared" si="8"/>
        <v>0</v>
      </c>
      <c r="T16" s="98">
        <f t="shared" si="9"/>
        <v>0</v>
      </c>
      <c r="U16" s="13" t="str">
        <f t="shared" si="10"/>
        <v>SEM VALOR</v>
      </c>
      <c r="V16" s="4">
        <f ca="1">IF(OR($A16=0,$A16="S",$A16&gt;CFF!$A$9),"",MAX(V$12:OFFSET(V16,-1,0))+1)</f>
      </c>
      <c r="W16" s="9" t="str">
        <f t="shared" si="11"/>
        <v>SINAPI-93208</v>
      </c>
      <c r="X16" s="4">
        <f ca="1" t="shared" si="12"/>
        <v>261</v>
      </c>
      <c r="Y16" s="121">
        <v>697.93</v>
      </c>
      <c r="Z16" s="132">
        <f>ROUND(IF(ISNUMBER(R16),R16,IF(LEFT(R16,3)="BDI",HLOOKUP(R16,DADOS!$T$37:$X$38,2,FALSE),0)),15-11*$X$5)</f>
        <v>0.285</v>
      </c>
      <c r="AA16" s="4"/>
    </row>
    <row r="17" spans="1:27" ht="12.75">
      <c r="A17">
        <f t="shared" si="0"/>
        <v>2</v>
      </c>
      <c r="B17">
        <f t="shared" si="1"/>
        <v>5</v>
      </c>
      <c r="C17">
        <f ca="1" t="shared" si="2"/>
        <v>1</v>
      </c>
      <c r="D17">
        <f ca="1" t="shared" si="3"/>
        <v>2</v>
      </c>
      <c r="E17">
        <f ca="1" t="shared" si="4"/>
        <v>0</v>
      </c>
      <c r="F17">
        <f ca="1" t="shared" si="5"/>
        <v>0</v>
      </c>
      <c r="G17">
        <f ca="1" t="shared" si="6"/>
        <v>0</v>
      </c>
      <c r="H17">
        <f ca="1">IF(OR($A17="S",$A17=0),0,MATCH(0,OFFSET($B17,1,$A17,ROW($A$42)-ROW($A17)),0))</f>
        <v>25</v>
      </c>
      <c r="I17">
        <f ca="1">IF(OR($A17="S",$A17=0),0,MATCH(OFFSET($B17,0,$A17)+1,OFFSET($B17,1,$A17,ROW($A$42)-ROW($A17)),0))</f>
        <v>5</v>
      </c>
      <c r="J17" s="392" t="s">
        <v>100</v>
      </c>
      <c r="K17" s="162" t="str">
        <f t="shared" si="7"/>
        <v>1.2.</v>
      </c>
      <c r="L17" s="393"/>
      <c r="M17" s="393"/>
      <c r="N17" s="394" t="s">
        <v>265</v>
      </c>
      <c r="O17" s="395" t="s">
        <v>107</v>
      </c>
      <c r="P17" s="232">
        <f ca="1">OFFSET(PLQ!$E$12,ROW($P17)-ROW(P$12),0)</f>
        <v>0</v>
      </c>
      <c r="Q17" s="228"/>
      <c r="R17" s="231" t="s">
        <v>7</v>
      </c>
      <c r="S17" s="121">
        <f t="shared" si="8"/>
        <v>0</v>
      </c>
      <c r="T17" s="98">
        <f t="shared" si="9"/>
        <v>0</v>
      </c>
      <c r="U17" s="13" t="str">
        <f t="shared" si="10"/>
        <v>SEM VALOR</v>
      </c>
      <c r="V17" s="4">
        <f ca="1">IF(OR($A17=0,$A17="S",$A17&gt;CFF!$A$9),"",MAX(V$12:OFFSET(V17,-1,0))+1)</f>
      </c>
      <c r="W17" s="9" t="b">
        <f t="shared" si="11"/>
        <v>0</v>
      </c>
      <c r="X17" s="4" t="str">
        <f ca="1" t="shared" si="12"/>
        <v>X</v>
      </c>
      <c r="Y17" s="121">
        <v>0</v>
      </c>
      <c r="Z17" s="132">
        <f>ROUND(IF(ISNUMBER(R17),R17,IF(LEFT(R17,3)="BDI",HLOOKUP(R17,DADOS!$T$37:$X$38,2,FALSE),0)),15-11*$X$5)</f>
        <v>0.285</v>
      </c>
      <c r="AA17" s="4"/>
    </row>
    <row r="18" spans="1:27" ht="12.75">
      <c r="A18">
        <f>CHOOSE(1+LOG(1+2*(J18="Meta")+4*(J18="Nível 2")+8*(J18="Nível 3")+16*(J18="Nível 4")+32*(J18="Serviço"),2),0,1,2,3,4,"S")</f>
        <v>3</v>
      </c>
      <c r="B18">
        <f>IF(OR(A18="S",A18=0),0,IF(ISERROR(I18),H18,SMALL(H18:I18,1)))</f>
        <v>4</v>
      </c>
      <c r="C18">
        <f ca="1">IF($A18=1,OFFSET(C18,-1,0)+1,OFFSET(C18,-1,0))</f>
        <v>1</v>
      </c>
      <c r="D18">
        <f ca="1">IF($A18=1,0,IF($A18=2,OFFSET(D18,-1,0)+1,OFFSET(D18,-1,0)))</f>
        <v>2</v>
      </c>
      <c r="E18">
        <f ca="1">IF(AND($A18&lt;=2,$A18&lt;&gt;0),0,IF($A18=3,OFFSET(E18,-1,0)+1,OFFSET(E18,-1,0)))</f>
        <v>1</v>
      </c>
      <c r="F18">
        <f ca="1">IF(AND($A18&lt;=3,$A18&lt;&gt;0),0,IF($A18=4,OFFSET(F18,-1,0)+1,OFFSET(F18,-1,0)))</f>
        <v>0</v>
      </c>
      <c r="G18">
        <f ca="1">IF(AND($A18&lt;=4,$A18&lt;&gt;0),0,IF($A18="S",OFFSET(G18,-1,0)+1,OFFSET(G18,-1,0)))</f>
        <v>0</v>
      </c>
      <c r="H18">
        <f ca="1">IF(OR($A18="S",$A18=0),0,MATCH(0,OFFSET($B18,1,$A18,ROW($A$42)-ROW($A18)),0))</f>
        <v>4</v>
      </c>
      <c r="I18" t="e">
        <f ca="1">IF(OR($A18="S",$A18=0),0,MATCH(OFFSET($B18,0,$A18)+1,OFFSET($B18,1,$A18,ROW($A$42)-ROW($A18)),0))</f>
        <v>#N/A</v>
      </c>
      <c r="J18" s="392" t="s">
        <v>101</v>
      </c>
      <c r="K18" s="162" t="str">
        <f>IF($A18=0,"-",CONCATENATE(C18&amp;".",IF(AND($A$5&gt;=2,$A18&gt;=2),D18&amp;".",""),IF(AND($A$5&gt;=3,$A18&gt;=3),E18&amp;".",""),IF(AND($A$5&gt;=4,$A18&gt;=4),F18&amp;".",""),IF($A18="S",G18&amp;".","")))</f>
        <v>1.2.1.</v>
      </c>
      <c r="L18" s="393"/>
      <c r="M18" s="393"/>
      <c r="N18" s="394" t="s">
        <v>266</v>
      </c>
      <c r="O18" s="395" t="s">
        <v>107</v>
      </c>
      <c r="P18" s="232">
        <f ca="1">OFFSET(PLQ!$E$12,ROW($P18)-ROW(P$12),0)</f>
        <v>0</v>
      </c>
      <c r="Q18" s="228"/>
      <c r="R18" s="231" t="s">
        <v>7</v>
      </c>
      <c r="S18" s="121">
        <f>IF($A18="S",IF($Q$10="Preço Unitário (R$)",PO.CustoUnitario,ROUND(PO.CustoUnitario*(1+$Z18),15-13*$X$6)),0)</f>
        <v>0</v>
      </c>
      <c r="T18" s="98">
        <f>IF($A18="S",VTOTAL1,IF($A18=0,0,ROUND(SomaAgrup,15-13*$X$7)))</f>
        <v>0</v>
      </c>
      <c r="U18" s="13" t="str">
        <f>IF($J18="","",IF($N18="","DESCRIÇÃO",IF(AND($J18="Serviço",$O18=""),"UNIDADE",IF($T18&lt;=0,"SEM VALOR",IF(AND($Y18&lt;&gt;"",$Q18&gt;$Y18),"ACIMA REF.","")))))</f>
        <v>SEM VALOR</v>
      </c>
      <c r="V18" s="4">
        <f ca="1">IF(OR($A18=0,$A18="S",$A18&gt;CFF!$A$9),"",MAX(V$12:OFFSET(V18,-1,0))+1)</f>
      </c>
      <c r="W18" s="9" t="b">
        <f>IF(AND($J18="Serviço",$M18&lt;&gt;""),IF($L18="",$M18,CONCATENATE($L18,"-",$M18)))</f>
        <v>0</v>
      </c>
      <c r="X18" s="4" t="str">
        <f ca="1">IF(AND(Fonte&lt;&gt;"",Código&lt;&gt;""),MATCH(Fonte&amp;" "&amp;IF(Fonte="sinapi",SUBSTITUTE(SUBSTITUTE(Código,"/00","/"),"/0","/"),Código),INDIRECT("'[Referência "&amp;DATABASE&amp;".xls]Banco'!$a:$a"),0),"X")</f>
        <v>X</v>
      </c>
      <c r="Y18" s="121">
        <v>0</v>
      </c>
      <c r="Z18" s="132">
        <f>ROUND(IF(ISNUMBER(R18),R18,IF(LEFT(R18,3)="BDI",HLOOKUP(R18,DADOS!$T$37:$X$38,2,FALSE),0)),15-11*$X$5)</f>
        <v>0.285</v>
      </c>
      <c r="AA18" s="4"/>
    </row>
    <row r="19" spans="1:27" ht="38.25">
      <c r="A19" t="str">
        <f t="shared" si="0"/>
        <v>S</v>
      </c>
      <c r="B19">
        <f t="shared" si="1"/>
        <v>0</v>
      </c>
      <c r="C19">
        <f ca="1" t="shared" si="2"/>
        <v>1</v>
      </c>
      <c r="D19">
        <f ca="1" t="shared" si="3"/>
        <v>2</v>
      </c>
      <c r="E19">
        <f ca="1" t="shared" si="4"/>
        <v>1</v>
      </c>
      <c r="F19">
        <f ca="1" t="shared" si="5"/>
        <v>0</v>
      </c>
      <c r="G19">
        <f ca="1" t="shared" si="6"/>
        <v>1</v>
      </c>
      <c r="H19">
        <f ca="1">IF(OR($A19="S",$A19=0),0,MATCH(0,OFFSET($B19,1,$A19,ROW($A$42)-ROW($A19)),0))</f>
        <v>0</v>
      </c>
      <c r="I19">
        <f ca="1">IF(OR($A19="S",$A19=0),0,MATCH(OFFSET($B19,0,$A19)+1,OFFSET($B19,1,$A19,ROW($A$42)-ROW($A19)),0))</f>
        <v>0</v>
      </c>
      <c r="J19" s="392" t="s">
        <v>103</v>
      </c>
      <c r="K19" s="162" t="str">
        <f t="shared" si="7"/>
        <v>1.2.1.1.</v>
      </c>
      <c r="L19" s="393" t="s">
        <v>231</v>
      </c>
      <c r="M19" s="393" t="s">
        <v>267</v>
      </c>
      <c r="N19" s="394" t="s">
        <v>283</v>
      </c>
      <c r="O19" s="395" t="s">
        <v>303</v>
      </c>
      <c r="P19" s="232">
        <f ca="1">OFFSET(PLQ!$E$12,ROW($P19)-ROW(P$12),0)</f>
        <v>3253.84</v>
      </c>
      <c r="Q19" s="228"/>
      <c r="R19" s="231" t="s">
        <v>7</v>
      </c>
      <c r="S19" s="121">
        <f t="shared" si="8"/>
        <v>0</v>
      </c>
      <c r="T19" s="98">
        <f t="shared" si="9"/>
        <v>0</v>
      </c>
      <c r="U19" s="13" t="str">
        <f t="shared" si="10"/>
        <v>SEM VALOR</v>
      </c>
      <c r="V19" s="4">
        <f ca="1">IF(OR($A19=0,$A19="S",$A19&gt;CFF!$A$9),"",MAX(V$12:OFFSET(V19,-1,0))+1)</f>
      </c>
      <c r="W19" s="9" t="str">
        <f t="shared" si="11"/>
        <v>SINAPI-74010/01</v>
      </c>
      <c r="X19" s="4">
        <f ca="1" t="shared" si="12"/>
        <v>4902</v>
      </c>
      <c r="Y19" s="121">
        <v>1.79</v>
      </c>
      <c r="Z19" s="132">
        <f>ROUND(IF(ISNUMBER(R19),R19,IF(LEFT(R19,3)="BDI",HLOOKUP(R19,DADOS!$T$37:$X$38,2,FALSE),0)),15-11*$X$5)</f>
        <v>0.285</v>
      </c>
      <c r="AA19" s="4"/>
    </row>
    <row r="20" spans="1:27" ht="25.5">
      <c r="A20" t="str">
        <f t="shared" si="0"/>
        <v>S</v>
      </c>
      <c r="B20">
        <f t="shared" si="1"/>
        <v>0</v>
      </c>
      <c r="C20">
        <f ca="1" t="shared" si="2"/>
        <v>1</v>
      </c>
      <c r="D20">
        <f ca="1" t="shared" si="3"/>
        <v>2</v>
      </c>
      <c r="E20">
        <f ca="1" t="shared" si="4"/>
        <v>1</v>
      </c>
      <c r="F20">
        <f ca="1" t="shared" si="5"/>
        <v>0</v>
      </c>
      <c r="G20">
        <f ca="1" t="shared" si="6"/>
        <v>2</v>
      </c>
      <c r="H20">
        <f ca="1">IF(OR($A20="S",$A20=0),0,MATCH(0,OFFSET($B20,1,$A20,ROW($A$42)-ROW($A20)),0))</f>
        <v>0</v>
      </c>
      <c r="I20">
        <f ca="1">IF(OR($A20="S",$A20=0),0,MATCH(OFFSET($B20,0,$A20)+1,OFFSET($B20,1,$A20,ROW($A$42)-ROW($A20)),0))</f>
        <v>0</v>
      </c>
      <c r="J20" s="392" t="s">
        <v>103</v>
      </c>
      <c r="K20" s="162" t="str">
        <f t="shared" si="7"/>
        <v>1.2.1.2.</v>
      </c>
      <c r="L20" s="393" t="s">
        <v>231</v>
      </c>
      <c r="M20" s="393" t="s">
        <v>268</v>
      </c>
      <c r="N20" s="394" t="s">
        <v>284</v>
      </c>
      <c r="O20" s="395" t="s">
        <v>303</v>
      </c>
      <c r="P20" s="232">
        <f ca="1">OFFSET(PLQ!$E$12,ROW($P20)-ROW(P$12),0)</f>
        <v>2603.07</v>
      </c>
      <c r="Q20" s="228"/>
      <c r="R20" s="231" t="s">
        <v>7</v>
      </c>
      <c r="S20" s="121">
        <f t="shared" si="8"/>
        <v>0</v>
      </c>
      <c r="T20" s="98">
        <f t="shared" si="9"/>
        <v>0</v>
      </c>
      <c r="U20" s="13" t="str">
        <f t="shared" si="10"/>
        <v>SEM VALOR</v>
      </c>
      <c r="V20" s="4">
        <f ca="1">IF(OR($A20=0,$A20="S",$A20&gt;CFF!$A$9),"",MAX(V$12:OFFSET(V20,-1,0))+1)</f>
      </c>
      <c r="W20" s="9" t="str">
        <f t="shared" si="11"/>
        <v>SINAPI-74205/001</v>
      </c>
      <c r="X20" s="4">
        <f ca="1" t="shared" si="12"/>
        <v>4742</v>
      </c>
      <c r="Y20" s="121">
        <v>1.75</v>
      </c>
      <c r="Z20" s="132">
        <f>ROUND(IF(ISNUMBER(R20),R20,IF(LEFT(R20,3)="BDI",HLOOKUP(R20,DADOS!$T$37:$X$38,2,FALSE),0)),15-11*$X$5)</f>
        <v>0.285</v>
      </c>
      <c r="AA20" s="4"/>
    </row>
    <row r="21" spans="1:27" ht="25.5">
      <c r="A21" t="str">
        <f>CHOOSE(1+LOG(1+2*(J21="Meta")+4*(J21="Nível 2")+8*(J21="Nível 3")+16*(J21="Nível 4")+32*(J21="Serviço"),2),0,1,2,3,4,"S")</f>
        <v>S</v>
      </c>
      <c r="B21">
        <f>IF(OR(A21="S",A21=0),0,IF(ISERROR(I21),H21,SMALL(H21:I21,1)))</f>
        <v>0</v>
      </c>
      <c r="C21">
        <f ca="1">IF($A21=1,OFFSET(C21,-1,0)+1,OFFSET(C21,-1,0))</f>
        <v>1</v>
      </c>
      <c r="D21">
        <f ca="1">IF($A21=1,0,IF($A21=2,OFFSET(D21,-1,0)+1,OFFSET(D21,-1,0)))</f>
        <v>2</v>
      </c>
      <c r="E21">
        <f ca="1">IF(AND($A21&lt;=2,$A21&lt;&gt;0),0,IF($A21=3,OFFSET(E21,-1,0)+1,OFFSET(E21,-1,0)))</f>
        <v>1</v>
      </c>
      <c r="F21">
        <f ca="1">IF(AND($A21&lt;=3,$A21&lt;&gt;0),0,IF($A21=4,OFFSET(F21,-1,0)+1,OFFSET(F21,-1,0)))</f>
        <v>0</v>
      </c>
      <c r="G21">
        <f ca="1">IF(AND($A21&lt;=4,$A21&lt;&gt;0),0,IF($A21="S",OFFSET(G21,-1,0)+1,OFFSET(G21,-1,0)))</f>
        <v>3</v>
      </c>
      <c r="H21">
        <f ca="1">IF(OR($A21="S",$A21=0),0,MATCH(0,OFFSET($B21,1,$A21,ROW($A$42)-ROW($A21)),0))</f>
        <v>0</v>
      </c>
      <c r="I21">
        <f ca="1">IF(OR($A21="S",$A21=0),0,MATCH(OFFSET($B21,0,$A21)+1,OFFSET($B21,1,$A21,ROW($A$42)-ROW($A21)),0))</f>
        <v>0</v>
      </c>
      <c r="J21" s="392" t="s">
        <v>103</v>
      </c>
      <c r="K21" s="162" t="str">
        <f>IF($A21=0,"-",CONCATENATE(C21&amp;".",IF(AND($A$5&gt;=2,$A21&gt;=2),D21&amp;".",""),IF(AND($A$5&gt;=3,$A21&gt;=3),E21&amp;".",""),IF(AND($A$5&gt;=4,$A21&gt;=4),F21&amp;".",""),IF($A21="S",G21&amp;".","")))</f>
        <v>1.2.1.3.</v>
      </c>
      <c r="L21" s="393" t="s">
        <v>231</v>
      </c>
      <c r="M21" s="393" t="s">
        <v>269</v>
      </c>
      <c r="N21" s="394" t="s">
        <v>285</v>
      </c>
      <c r="O21" s="395" t="s">
        <v>304</v>
      </c>
      <c r="P21" s="232">
        <f ca="1">OFFSET(PLQ!$E$12,ROW($P21)-ROW(P$12),0)</f>
        <v>13480.74</v>
      </c>
      <c r="Q21" s="228"/>
      <c r="R21" s="231" t="s">
        <v>7</v>
      </c>
      <c r="S21" s="121">
        <f>IF($A21="S",IF($Q$10="Preço Unitário (R$)",PO.CustoUnitario,ROUND(PO.CustoUnitario*(1+$Z21),15-13*$X$6)),0)</f>
        <v>0</v>
      </c>
      <c r="T21" s="98">
        <f>IF($A21="S",VTOTAL1,IF($A21=0,0,ROUND(SomaAgrup,15-13*$X$7)))</f>
        <v>0</v>
      </c>
      <c r="U21" s="13" t="str">
        <f>IF($J21="","",IF($N21="","DESCRIÇÃO",IF(AND($J21="Serviço",$O21=""),"UNIDADE",IF($T21&lt;=0,"SEM VALOR",IF(AND($Y21&lt;&gt;"",$Q21&gt;$Y21),"ACIMA REF.","")))))</f>
        <v>SEM VALOR</v>
      </c>
      <c r="V21" s="4">
        <f ca="1">IF(OR($A21=0,$A21="S",$A21&gt;CFF!$A$9),"",MAX(V$12:OFFSET(V21,-1,0))+1)</f>
      </c>
      <c r="W21" s="9" t="str">
        <f>IF(AND($J21="Serviço",$M21&lt;&gt;""),IF($L21="",$M21,CONCATENATE($L21,"-",$M21)))</f>
        <v>SINAPI-93590</v>
      </c>
      <c r="X21" s="4">
        <f ca="1">IF(AND(Fonte&lt;&gt;"",Código&lt;&gt;""),MATCH(Fonte&amp;" "&amp;IF(Fonte="sinapi",SUBSTITUTE(SUBSTITUTE(Código,"/00","/"),"/0","/"),Código),INDIRECT("'[Referência "&amp;DATABASE&amp;".xls]Banco'!$a:$a"),0),"X")</f>
        <v>6071</v>
      </c>
      <c r="Y21" s="121">
        <v>0.89</v>
      </c>
      <c r="Z21" s="132">
        <f>ROUND(IF(ISNUMBER(R21),R21,IF(LEFT(R21,3)="BDI",HLOOKUP(R21,DADOS!$T$37:$X$38,2,FALSE),0)),15-11*$X$5)</f>
        <v>0.285</v>
      </c>
      <c r="AA21" s="4"/>
    </row>
    <row r="22" spans="1:27" ht="12.75">
      <c r="A22">
        <f>CHOOSE(1+LOG(1+2*(J22="Meta")+4*(J22="Nível 2")+8*(J22="Nível 3")+16*(J22="Nível 4")+32*(J22="Serviço"),2),0,1,2,3,4,"S")</f>
        <v>2</v>
      </c>
      <c r="B22">
        <f>IF(OR(A22="S",A22=0),0,IF(ISERROR(I22),H22,SMALL(H22:I22,1)))</f>
        <v>8</v>
      </c>
      <c r="C22">
        <f ca="1">IF($A22=1,OFFSET(C22,-1,0)+1,OFFSET(C22,-1,0))</f>
        <v>1</v>
      </c>
      <c r="D22">
        <f ca="1">IF($A22=1,0,IF($A22=2,OFFSET(D22,-1,0)+1,OFFSET(D22,-1,0)))</f>
        <v>3</v>
      </c>
      <c r="E22">
        <f ca="1">IF(AND($A22&lt;=2,$A22&lt;&gt;0),0,IF($A22=3,OFFSET(E22,-1,0)+1,OFFSET(E22,-1,0)))</f>
        <v>0</v>
      </c>
      <c r="F22">
        <f ca="1">IF(AND($A22&lt;=3,$A22&lt;&gt;0),0,IF($A22=4,OFFSET(F22,-1,0)+1,OFFSET(F22,-1,0)))</f>
        <v>0</v>
      </c>
      <c r="G22">
        <f ca="1">IF(AND($A22&lt;=4,$A22&lt;&gt;0),0,IF($A22="S",OFFSET(G22,-1,0)+1,OFFSET(G22,-1,0)))</f>
        <v>0</v>
      </c>
      <c r="H22">
        <f ca="1">IF(OR($A22="S",$A22=0),0,MATCH(0,OFFSET($B22,1,$A22,ROW($A$42)-ROW($A22)),0))</f>
        <v>20</v>
      </c>
      <c r="I22">
        <f ca="1">IF(OR($A22="S",$A22=0),0,MATCH(OFFSET($B22,0,$A22)+1,OFFSET($B22,1,$A22,ROW($A$42)-ROW($A22)),0))</f>
        <v>8</v>
      </c>
      <c r="J22" s="392" t="s">
        <v>100</v>
      </c>
      <c r="K22" s="162" t="str">
        <f>IF($A22=0,"-",CONCATENATE(C22&amp;".",IF(AND($A$5&gt;=2,$A22&gt;=2),D22&amp;".",""),IF(AND($A$5&gt;=3,$A22&gt;=3),E22&amp;".",""),IF(AND($A$5&gt;=4,$A22&gt;=4),F22&amp;".",""),IF($A22="S",G22&amp;".","")))</f>
        <v>1.3.</v>
      </c>
      <c r="L22" s="393"/>
      <c r="M22" s="393"/>
      <c r="N22" s="394" t="s">
        <v>270</v>
      </c>
      <c r="O22" s="395" t="s">
        <v>107</v>
      </c>
      <c r="P22" s="232">
        <f ca="1">OFFSET(PLQ!$E$12,ROW($P22)-ROW(P$12),0)</f>
        <v>0</v>
      </c>
      <c r="Q22" s="228"/>
      <c r="R22" s="231" t="s">
        <v>7</v>
      </c>
      <c r="S22" s="121">
        <f>IF($A22="S",IF($Q$10="Preço Unitário (R$)",PO.CustoUnitario,ROUND(PO.CustoUnitario*(1+$Z22),15-13*$X$6)),0)</f>
        <v>0</v>
      </c>
      <c r="T22" s="98">
        <f>IF($A22="S",VTOTAL1,IF($A22=0,0,ROUND(SomaAgrup,15-13*$X$7)))</f>
        <v>0</v>
      </c>
      <c r="U22" s="13" t="str">
        <f>IF($J22="","",IF($N22="","DESCRIÇÃO",IF(AND($J22="Serviço",$O22=""),"UNIDADE",IF($T22&lt;=0,"SEM VALOR",IF(AND($Y22&lt;&gt;"",$Q22&gt;$Y22),"ACIMA REF.","")))))</f>
        <v>SEM VALOR</v>
      </c>
      <c r="V22" s="4">
        <f ca="1">IF(OR($A22=0,$A22="S",$A22&gt;CFF!$A$9),"",MAX(V$12:OFFSET(V22,-1,0))+1)</f>
      </c>
      <c r="W22" s="9" t="b">
        <f>IF(AND($J22="Serviço",$M22&lt;&gt;""),IF($L22="",$M22,CONCATENATE($L22,"-",$M22)))</f>
        <v>0</v>
      </c>
      <c r="X22" s="4" t="str">
        <f ca="1">IF(AND(Fonte&lt;&gt;"",Código&lt;&gt;""),MATCH(Fonte&amp;" "&amp;IF(Fonte="sinapi",SUBSTITUTE(SUBSTITUTE(Código,"/00","/"),"/0","/"),Código),INDIRECT("'[Referência "&amp;DATABASE&amp;".xls]Banco'!$a:$a"),0),"X")</f>
        <v>X</v>
      </c>
      <c r="Y22" s="121">
        <v>0</v>
      </c>
      <c r="Z22" s="132">
        <f>ROUND(IF(ISNUMBER(R22),R22,IF(LEFT(R22,3)="BDI",HLOOKUP(R22,DADOS!$T$37:$X$38,2,FALSE),0)),15-11*$X$5)</f>
        <v>0.285</v>
      </c>
      <c r="AA22" s="4"/>
    </row>
    <row r="23" spans="1:27" ht="12.75">
      <c r="A23" t="str">
        <f t="shared" si="0"/>
        <v>S</v>
      </c>
      <c r="B23">
        <f t="shared" si="1"/>
        <v>0</v>
      </c>
      <c r="C23">
        <f ca="1" t="shared" si="2"/>
        <v>1</v>
      </c>
      <c r="D23">
        <f ca="1" t="shared" si="3"/>
        <v>3</v>
      </c>
      <c r="E23">
        <f ca="1" t="shared" si="4"/>
        <v>0</v>
      </c>
      <c r="F23">
        <f ca="1" t="shared" si="5"/>
        <v>0</v>
      </c>
      <c r="G23">
        <f ca="1" t="shared" si="6"/>
        <v>1</v>
      </c>
      <c r="H23">
        <f ca="1">IF(OR($A23="S",$A23=0),0,MATCH(0,OFFSET($B23,1,$A23,ROW($A$42)-ROW($A23)),0))</f>
        <v>0</v>
      </c>
      <c r="I23">
        <f ca="1">IF(OR($A23="S",$A23=0),0,MATCH(OFFSET($B23,0,$A23)+1,OFFSET($B23,1,$A23,ROW($A$42)-ROW($A23)),0))</f>
        <v>0</v>
      </c>
      <c r="J23" s="392" t="s">
        <v>103</v>
      </c>
      <c r="K23" s="162" t="str">
        <f t="shared" si="7"/>
        <v>1.3.0.1.</v>
      </c>
      <c r="L23" s="393" t="s">
        <v>231</v>
      </c>
      <c r="M23" s="393" t="s">
        <v>271</v>
      </c>
      <c r="N23" s="394" t="s">
        <v>286</v>
      </c>
      <c r="O23" s="395" t="s">
        <v>234</v>
      </c>
      <c r="P23" s="232">
        <f ca="1">OFFSET(PLQ!$E$12,ROW($P23)-ROW(P$12),0)</f>
        <v>1626.92</v>
      </c>
      <c r="Q23" s="228"/>
      <c r="R23" s="231" t="s">
        <v>7</v>
      </c>
      <c r="S23" s="121">
        <f t="shared" si="8"/>
        <v>0</v>
      </c>
      <c r="T23" s="98">
        <f t="shared" si="9"/>
        <v>0</v>
      </c>
      <c r="U23" s="13" t="str">
        <f t="shared" si="10"/>
        <v>SEM VALOR</v>
      </c>
      <c r="V23" s="4">
        <f ca="1">IF(OR($A23=0,$A23="S",$A23&gt;CFF!$A$9),"",MAX(V$12:OFFSET(V23,-1,0))+1)</f>
      </c>
      <c r="W23" s="9" t="str">
        <f t="shared" si="11"/>
        <v>SINAPI-41721</v>
      </c>
      <c r="X23" s="4">
        <f ca="1" t="shared" si="12"/>
        <v>4936</v>
      </c>
      <c r="Y23" s="121">
        <v>4.05</v>
      </c>
      <c r="Z23" s="132">
        <f>ROUND(IF(ISNUMBER(R23),R23,IF(LEFT(R23,3)="BDI",HLOOKUP(R23,DADOS!$T$37:$X$38,2,FALSE),0)),15-11*$X$5)</f>
        <v>0.285</v>
      </c>
      <c r="AA23" s="4"/>
    </row>
    <row r="24" spans="1:27" ht="25.5">
      <c r="A24" t="str">
        <f t="shared" si="0"/>
        <v>S</v>
      </c>
      <c r="B24">
        <f t="shared" si="1"/>
        <v>0</v>
      </c>
      <c r="C24">
        <f ca="1" t="shared" si="2"/>
        <v>1</v>
      </c>
      <c r="D24">
        <f ca="1" t="shared" si="3"/>
        <v>3</v>
      </c>
      <c r="E24">
        <f ca="1" t="shared" si="4"/>
        <v>0</v>
      </c>
      <c r="F24">
        <f ca="1" t="shared" si="5"/>
        <v>0</v>
      </c>
      <c r="G24">
        <f ca="1" t="shared" si="6"/>
        <v>2</v>
      </c>
      <c r="H24">
        <f ca="1">IF(OR($A24="S",$A24=0),0,MATCH(0,OFFSET($B24,1,$A24,ROW($A$42)-ROW($A24)),0))</f>
        <v>0</v>
      </c>
      <c r="I24">
        <f ca="1">IF(OR($A24="S",$A24=0),0,MATCH(OFFSET($B24,0,$A24)+1,OFFSET($B24,1,$A24,ROW($A$42)-ROW($A24)),0))</f>
        <v>0</v>
      </c>
      <c r="J24" s="392" t="s">
        <v>103</v>
      </c>
      <c r="K24" s="162" t="str">
        <f t="shared" si="7"/>
        <v>1.3.0.2.</v>
      </c>
      <c r="L24" s="393" t="s">
        <v>231</v>
      </c>
      <c r="M24" s="393" t="s">
        <v>242</v>
      </c>
      <c r="N24" s="394" t="s">
        <v>287</v>
      </c>
      <c r="O24" s="395" t="s">
        <v>303</v>
      </c>
      <c r="P24" s="232">
        <f ca="1">OFFSET(PLQ!$E$12,ROW($P24)-ROW(P$12),0)</f>
        <v>607.38</v>
      </c>
      <c r="Q24" s="228"/>
      <c r="R24" s="231" t="s">
        <v>7</v>
      </c>
      <c r="S24" s="121">
        <f t="shared" si="8"/>
        <v>0</v>
      </c>
      <c r="T24" s="98">
        <f t="shared" si="9"/>
        <v>0</v>
      </c>
      <c r="U24" s="13" t="str">
        <f t="shared" si="10"/>
        <v>SEM VALOR</v>
      </c>
      <c r="V24" s="4">
        <f ca="1">IF(OR($A24=0,$A24="S",$A24&gt;CFF!$A$9),"",MAX(V$12:OFFSET(V24,-1,0))+1)</f>
      </c>
      <c r="W24" s="9" t="str">
        <f t="shared" si="11"/>
        <v>SINAPI-96396</v>
      </c>
      <c r="X24" s="4">
        <f ca="1" t="shared" si="12"/>
        <v>5151</v>
      </c>
      <c r="Y24" s="121">
        <v>130.44</v>
      </c>
      <c r="Z24" s="132">
        <f>ROUND(IF(ISNUMBER(R24),R24,IF(LEFT(R24,3)="BDI",HLOOKUP(R24,DADOS!$T$37:$X$38,2,FALSE),0)),15-11*$X$5)</f>
        <v>0.285</v>
      </c>
      <c r="AA24" s="4"/>
    </row>
    <row r="25" spans="1:27" ht="12.75">
      <c r="A25" t="str">
        <f t="shared" si="0"/>
        <v>S</v>
      </c>
      <c r="B25">
        <f t="shared" si="1"/>
        <v>0</v>
      </c>
      <c r="C25">
        <f ca="1" t="shared" si="2"/>
        <v>1</v>
      </c>
      <c r="D25">
        <f ca="1" t="shared" si="3"/>
        <v>3</v>
      </c>
      <c r="E25">
        <f ca="1" t="shared" si="4"/>
        <v>0</v>
      </c>
      <c r="F25">
        <f ca="1" t="shared" si="5"/>
        <v>0</v>
      </c>
      <c r="G25">
        <f ca="1" t="shared" si="6"/>
        <v>3</v>
      </c>
      <c r="H25">
        <f ca="1">IF(OR($A25="S",$A25=0),0,MATCH(0,OFFSET($B25,1,$A25,ROW($A$42)-ROW($A25)),0))</f>
        <v>0</v>
      </c>
      <c r="I25">
        <f ca="1">IF(OR($A25="S",$A25=0),0,MATCH(OFFSET($B25,0,$A25)+1,OFFSET($B25,1,$A25,ROW($A$42)-ROW($A25)),0))</f>
        <v>0</v>
      </c>
      <c r="J25" s="392" t="s">
        <v>103</v>
      </c>
      <c r="K25" s="162" t="str">
        <f t="shared" si="7"/>
        <v>1.3.0.3.</v>
      </c>
      <c r="L25" s="393" t="s">
        <v>231</v>
      </c>
      <c r="M25" s="393" t="s">
        <v>272</v>
      </c>
      <c r="N25" s="394" t="s">
        <v>288</v>
      </c>
      <c r="O25" s="395" t="s">
        <v>304</v>
      </c>
      <c r="P25" s="232">
        <f ca="1">OFFSET(PLQ!$E$12,ROW($P25)-ROW(P$12),0)</f>
        <v>22560.5</v>
      </c>
      <c r="Q25" s="228"/>
      <c r="R25" s="231" t="s">
        <v>7</v>
      </c>
      <c r="S25" s="121">
        <f t="shared" si="8"/>
        <v>0</v>
      </c>
      <c r="T25" s="98">
        <f t="shared" si="9"/>
        <v>0</v>
      </c>
      <c r="U25" s="13" t="str">
        <f>IF($J25="","",IF($N25="","DESCRIÇÃO",IF(AND($J25="Serviço",$O25=""),"UNIDADE",IF($T25&lt;=0,"SEM VALOR",IF(AND($Y25&lt;&gt;"",$Q25&gt;$Y25),"ACIMA REF.","")))))</f>
        <v>SEM VALOR</v>
      </c>
      <c r="V25" s="4">
        <f ca="1">IF(OR($A25=0,$A25="S",$A25&gt;CFF!$A$9),"",MAX(V$12:OFFSET(V25,-1,0))+1)</f>
      </c>
      <c r="W25" s="9" t="str">
        <f t="shared" si="11"/>
        <v>SINAPI-83356</v>
      </c>
      <c r="X25" s="4">
        <f ca="1" t="shared" si="12"/>
        <v>4903</v>
      </c>
      <c r="Y25" s="121">
        <v>0.89</v>
      </c>
      <c r="Z25" s="132">
        <f>ROUND(IF(ISNUMBER(R25),R25,IF(LEFT(R25,3)="BDI",HLOOKUP(R25,DADOS!$T$37:$X$38,2,FALSE),0)),15-11*$X$5)</f>
        <v>0.285</v>
      </c>
      <c r="AA25" s="4"/>
    </row>
    <row r="26" spans="1:27" ht="12.75">
      <c r="A26" t="str">
        <f>CHOOSE(1+LOG(1+2*(J26="Meta")+4*(J26="Nível 2")+8*(J26="Nível 3")+16*(J26="Nível 4")+32*(J26="Serviço"),2),0,1,2,3,4,"S")</f>
        <v>S</v>
      </c>
      <c r="B26">
        <f>IF(OR(A26="S",A26=0),0,IF(ISERROR(I26),H26,SMALL(H26:I26,1)))</f>
        <v>0</v>
      </c>
      <c r="C26">
        <f ca="1">IF($A26=1,OFFSET(C26,-1,0)+1,OFFSET(C26,-1,0))</f>
        <v>1</v>
      </c>
      <c r="D26">
        <f ca="1">IF($A26=1,0,IF($A26=2,OFFSET(D26,-1,0)+1,OFFSET(D26,-1,0)))</f>
        <v>3</v>
      </c>
      <c r="E26">
        <f ca="1">IF(AND($A26&lt;=2,$A26&lt;&gt;0),0,IF($A26=3,OFFSET(E26,-1,0)+1,OFFSET(E26,-1,0)))</f>
        <v>0</v>
      </c>
      <c r="F26">
        <f ca="1">IF(AND($A26&lt;=3,$A26&lt;&gt;0),0,IF($A26=4,OFFSET(F26,-1,0)+1,OFFSET(F26,-1,0)))</f>
        <v>0</v>
      </c>
      <c r="G26">
        <f ca="1">IF(AND($A26&lt;=4,$A26&lt;&gt;0),0,IF($A26="S",OFFSET(G26,-1,0)+1,OFFSET(G26,-1,0)))</f>
        <v>4</v>
      </c>
      <c r="H26">
        <f ca="1">IF(OR($A26="S",$A26=0),0,MATCH(0,OFFSET($B26,1,$A26,ROW($A$42)-ROW($A26)),0))</f>
        <v>0</v>
      </c>
      <c r="I26">
        <f ca="1">IF(OR($A26="S",$A26=0),0,MATCH(OFFSET($B26,0,$A26)+1,OFFSET($B26,1,$A26,ROW($A$42)-ROW($A26)),0))</f>
        <v>0</v>
      </c>
      <c r="J26" s="392" t="s">
        <v>103</v>
      </c>
      <c r="K26" s="162" t="str">
        <f>IF($A26=0,"-",CONCATENATE(C26&amp;".",IF(AND($A$5&gt;=2,$A26&gt;=2),D26&amp;".",""),IF(AND($A$5&gt;=3,$A26&gt;=3),E26&amp;".",""),IF(AND($A$5&gt;=4,$A26&gt;=4),F26&amp;".",""),IF($A26="S",G26&amp;".","")))</f>
        <v>1.3.0.4.</v>
      </c>
      <c r="L26" s="393" t="s">
        <v>231</v>
      </c>
      <c r="M26" s="393" t="s">
        <v>273</v>
      </c>
      <c r="N26" s="394" t="s">
        <v>289</v>
      </c>
      <c r="O26" s="395" t="s">
        <v>234</v>
      </c>
      <c r="P26" s="232">
        <f ca="1">OFFSET(PLQ!$E$12,ROW($P26)-ROW(P$12),0)</f>
        <v>4338.45</v>
      </c>
      <c r="Q26" s="228"/>
      <c r="R26" s="231" t="s">
        <v>7</v>
      </c>
      <c r="S26" s="121">
        <f>IF($A26="S",IF($Q$10="Preço Unitário (R$)",PO.CustoUnitario,ROUND(PO.CustoUnitario*(1+$Z26),15-13*$X$6)),0)</f>
        <v>0</v>
      </c>
      <c r="T26" s="98">
        <f>IF($A26="S",VTOTAL1,IF($A26=0,0,ROUND(SomaAgrup,15-13*$X$7)))</f>
        <v>0</v>
      </c>
      <c r="U26" s="13" t="str">
        <f>IF($J26="","",IF($N26="","DESCRIÇÃO",IF(AND($J26="Serviço",$O26=""),"UNIDADE",IF($T26&lt;=0,"SEM VALOR",IF(AND($Y26&lt;&gt;"",$Q26&gt;$Y26),"ACIMA REF.","")))))</f>
        <v>SEM VALOR</v>
      </c>
      <c r="V26" s="4">
        <f ca="1">IF(OR($A26=0,$A26="S",$A26&gt;CFF!$A$9),"",MAX(V$12:OFFSET(V26,-1,0))+1)</f>
      </c>
      <c r="W26" s="9" t="str">
        <f>IF(AND($J26="Serviço",$M26&lt;&gt;""),IF($L26="",$M26,CONCATENATE($L26,"-",$M26)))</f>
        <v>SINAPI-96401</v>
      </c>
      <c r="X26" s="4">
        <f ca="1">IF(AND(Fonte&lt;&gt;"",Código&lt;&gt;""),MATCH(Fonte&amp;" "&amp;IF(Fonte="sinapi",SUBSTITUTE(SUBSTITUTE(Código,"/00","/"),"/0","/"),Código),INDIRECT("'[Referência "&amp;DATABASE&amp;".xls]Banco'!$a:$a"),0),"X")</f>
        <v>5156</v>
      </c>
      <c r="Y26" s="121">
        <v>8.53</v>
      </c>
      <c r="Z26" s="132">
        <f>ROUND(IF(ISNUMBER(R26),R26,IF(LEFT(R26,3)="BDI",HLOOKUP(R26,DADOS!$T$37:$X$38,2,FALSE),0)),15-11*$X$5)</f>
        <v>0.285</v>
      </c>
      <c r="AA26" s="4"/>
    </row>
    <row r="27" spans="1:27" ht="12.75">
      <c r="A27" t="str">
        <f t="shared" si="0"/>
        <v>S</v>
      </c>
      <c r="B27">
        <f t="shared" si="1"/>
        <v>0</v>
      </c>
      <c r="C27">
        <f ca="1" t="shared" si="2"/>
        <v>1</v>
      </c>
      <c r="D27">
        <f ca="1" t="shared" si="3"/>
        <v>3</v>
      </c>
      <c r="E27">
        <f ca="1" t="shared" si="4"/>
        <v>0</v>
      </c>
      <c r="F27">
        <f ca="1" t="shared" si="5"/>
        <v>0</v>
      </c>
      <c r="G27">
        <f ca="1" t="shared" si="6"/>
        <v>5</v>
      </c>
      <c r="H27">
        <f ca="1">IF(OR($A27="S",$A27=0),0,MATCH(0,OFFSET($B27,1,$A27,ROW($A$42)-ROW($A27)),0))</f>
        <v>0</v>
      </c>
      <c r="I27">
        <f ca="1">IF(OR($A27="S",$A27=0),0,MATCH(OFFSET($B27,0,$A27)+1,OFFSET($B27,1,$A27,ROW($A$42)-ROW($A27)),0))</f>
        <v>0</v>
      </c>
      <c r="J27" s="392" t="s">
        <v>103</v>
      </c>
      <c r="K27" s="162" t="str">
        <f t="shared" si="7"/>
        <v>1.3.0.5.</v>
      </c>
      <c r="L27" s="393" t="s">
        <v>231</v>
      </c>
      <c r="M27" s="393" t="s">
        <v>274</v>
      </c>
      <c r="N27" s="394" t="s">
        <v>290</v>
      </c>
      <c r="O27" s="395" t="s">
        <v>234</v>
      </c>
      <c r="P27" s="232">
        <f ca="1">OFFSET(PLQ!$E$12,ROW($P27)-ROW(P$12),0)</f>
        <v>4338.45</v>
      </c>
      <c r="Q27" s="228"/>
      <c r="R27" s="231" t="s">
        <v>7</v>
      </c>
      <c r="S27" s="121">
        <f t="shared" si="8"/>
        <v>0</v>
      </c>
      <c r="T27" s="98">
        <f t="shared" si="9"/>
        <v>0</v>
      </c>
      <c r="U27" s="13" t="str">
        <f t="shared" si="10"/>
        <v>SEM VALOR</v>
      </c>
      <c r="V27" s="4">
        <f ca="1">IF(OR($A27=0,$A27="S",$A27&gt;CFF!$A$9),"",MAX(V$12:OFFSET(V27,-1,0))+1)</f>
      </c>
      <c r="W27" s="9" t="str">
        <f t="shared" si="11"/>
        <v>SINAPI-72942</v>
      </c>
      <c r="X27" s="4">
        <f ca="1" t="shared" si="12"/>
        <v>5159</v>
      </c>
      <c r="Y27" s="121">
        <v>2.16</v>
      </c>
      <c r="Z27" s="132">
        <f>ROUND(IF(ISNUMBER(R27),R27,IF(LEFT(R27,3)="BDI",HLOOKUP(R27,DADOS!$T$37:$X$38,2,FALSE),0)),15-11*$X$5)</f>
        <v>0.285</v>
      </c>
      <c r="AA27" s="4"/>
    </row>
    <row r="28" spans="1:27" ht="25.5">
      <c r="A28" t="str">
        <f t="shared" si="0"/>
        <v>S</v>
      </c>
      <c r="B28">
        <f t="shared" si="1"/>
        <v>0</v>
      </c>
      <c r="C28">
        <f ca="1" t="shared" si="2"/>
        <v>1</v>
      </c>
      <c r="D28">
        <f ca="1" t="shared" si="3"/>
        <v>3</v>
      </c>
      <c r="E28">
        <f ca="1" t="shared" si="4"/>
        <v>0</v>
      </c>
      <c r="F28">
        <f ca="1" t="shared" si="5"/>
        <v>0</v>
      </c>
      <c r="G28">
        <f ca="1" t="shared" si="6"/>
        <v>6</v>
      </c>
      <c r="H28">
        <f ca="1">IF(OR($A28="S",$A28=0),0,MATCH(0,OFFSET($B28,1,$A28,ROW($A$42)-ROW($A28)),0))</f>
        <v>0</v>
      </c>
      <c r="I28">
        <f ca="1">IF(OR($A28="S",$A28=0),0,MATCH(OFFSET($B28,0,$A28)+1,OFFSET($B28,1,$A28,ROW($A$42)-ROW($A28)),0))</f>
        <v>0</v>
      </c>
      <c r="J28" s="392" t="s">
        <v>103</v>
      </c>
      <c r="K28" s="162" t="str">
        <f t="shared" si="7"/>
        <v>1.3.0.6.</v>
      </c>
      <c r="L28" s="393" t="s">
        <v>231</v>
      </c>
      <c r="M28" s="393" t="s">
        <v>275</v>
      </c>
      <c r="N28" s="394" t="s">
        <v>291</v>
      </c>
      <c r="O28" s="395" t="s">
        <v>303</v>
      </c>
      <c r="P28" s="232">
        <f ca="1">OFFSET(PLQ!$E$12,ROW($P28)-ROW(P$12),0)</f>
        <v>130.16</v>
      </c>
      <c r="Q28" s="228"/>
      <c r="R28" s="231" t="s">
        <v>7</v>
      </c>
      <c r="S28" s="121">
        <f t="shared" si="8"/>
        <v>0</v>
      </c>
      <c r="T28" s="98">
        <f t="shared" si="9"/>
        <v>0</v>
      </c>
      <c r="U28" s="13" t="str">
        <f t="shared" si="10"/>
        <v>SEM VALOR</v>
      </c>
      <c r="V28" s="4">
        <f ca="1">IF(OR($A28=0,$A28="S",$A28&gt;CFF!$A$9),"",MAX(V$12:OFFSET(V28,-1,0))+1)</f>
      </c>
      <c r="W28" s="9" t="str">
        <f t="shared" si="11"/>
        <v>SINAPI-95990</v>
      </c>
      <c r="X28" s="4">
        <f ca="1" t="shared" si="12"/>
        <v>5218</v>
      </c>
      <c r="Y28" s="121">
        <v>1501.99</v>
      </c>
      <c r="Z28" s="132">
        <f>ROUND(IF(ISNUMBER(R28),R28,IF(LEFT(R28,3)="BDI",HLOOKUP(R28,DADOS!$T$37:$X$38,2,FALSE),0)),15-11*$X$5)</f>
        <v>0.285</v>
      </c>
      <c r="AA28" s="4"/>
    </row>
    <row r="29" spans="1:27" ht="25.5">
      <c r="A29" t="str">
        <f t="shared" si="0"/>
        <v>S</v>
      </c>
      <c r="B29">
        <f t="shared" si="1"/>
        <v>0</v>
      </c>
      <c r="C29">
        <f ca="1" t="shared" si="2"/>
        <v>1</v>
      </c>
      <c r="D29">
        <f ca="1" t="shared" si="3"/>
        <v>3</v>
      </c>
      <c r="E29">
        <f ca="1" t="shared" si="4"/>
        <v>0</v>
      </c>
      <c r="F29">
        <f ca="1" t="shared" si="5"/>
        <v>0</v>
      </c>
      <c r="G29">
        <f ca="1" t="shared" si="6"/>
        <v>7</v>
      </c>
      <c r="H29">
        <f ca="1">IF(OR($A29="S",$A29=0),0,MATCH(0,OFFSET($B29,1,$A29,ROW($A$42)-ROW($A29)),0))</f>
        <v>0</v>
      </c>
      <c r="I29">
        <f ca="1">IF(OR($A29="S",$A29=0),0,MATCH(OFFSET($B29,0,$A29)+1,OFFSET($B29,1,$A29,ROW($A$42)-ROW($A29)),0))</f>
        <v>0</v>
      </c>
      <c r="J29" s="392" t="s">
        <v>103</v>
      </c>
      <c r="K29" s="162" t="str">
        <f t="shared" si="7"/>
        <v>1.3.0.7.</v>
      </c>
      <c r="L29" s="393" t="s">
        <v>231</v>
      </c>
      <c r="M29" s="393" t="s">
        <v>276</v>
      </c>
      <c r="N29" s="394" t="s">
        <v>292</v>
      </c>
      <c r="O29" s="395" t="s">
        <v>305</v>
      </c>
      <c r="P29" s="232">
        <f ca="1">OFFSET(PLQ!$E$12,ROW($P29)-ROW(P$12),0)</f>
        <v>1092.66</v>
      </c>
      <c r="Q29" s="228"/>
      <c r="R29" s="231" t="s">
        <v>7</v>
      </c>
      <c r="S29" s="121">
        <f t="shared" si="8"/>
        <v>0</v>
      </c>
      <c r="T29" s="98">
        <f t="shared" si="9"/>
        <v>0</v>
      </c>
      <c r="U29" s="13" t="str">
        <f t="shared" si="10"/>
        <v>SEM VALOR</v>
      </c>
      <c r="V29" s="4">
        <f ca="1">IF(OR($A29=0,$A29="S",$A29&gt;CFF!$A$9),"",MAX(V$12:OFFSET(V29,-1,0))+1)</f>
      </c>
      <c r="W29" s="9" t="str">
        <f t="shared" si="11"/>
        <v>SINAPI-95430</v>
      </c>
      <c r="X29" s="4">
        <f ca="1" t="shared" si="12"/>
        <v>6086</v>
      </c>
      <c r="Y29" s="121">
        <v>0.45</v>
      </c>
      <c r="Z29" s="132">
        <f>ROUND(IF(ISNUMBER(R29),R29,IF(LEFT(R29,3)="BDI",HLOOKUP(R29,DADOS!$T$37:$X$38,2,FALSE),0)),15-11*$X$5)</f>
        <v>0.285</v>
      </c>
      <c r="AA29" s="4"/>
    </row>
    <row r="30" spans="1:27" ht="12.75">
      <c r="A30">
        <f aca="true" t="shared" si="13" ref="A30:A41">CHOOSE(1+LOG(1+2*(J30="Meta")+4*(J30="Nível 2")+8*(J30="Nível 3")+16*(J30="Nível 4")+32*(J30="Serviço"),2),0,1,2,3,4,"S")</f>
        <v>2</v>
      </c>
      <c r="B30">
        <f aca="true" t="shared" si="14" ref="B30:B41">IF(OR(A30="S",A30=0),0,IF(ISERROR(I30),H30,SMALL(H30:I30,1)))</f>
        <v>8</v>
      </c>
      <c r="C30">
        <f aca="true" ca="1" t="shared" si="15" ref="C30:C41">IF($A30=1,OFFSET(C30,-1,0)+1,OFFSET(C30,-1,0))</f>
        <v>1</v>
      </c>
      <c r="D30">
        <f aca="true" ca="1" t="shared" si="16" ref="D30:D41">IF($A30=1,0,IF($A30=2,OFFSET(D30,-1,0)+1,OFFSET(D30,-1,0)))</f>
        <v>4</v>
      </c>
      <c r="E30">
        <f aca="true" ca="1" t="shared" si="17" ref="E30:E41">IF(AND($A30&lt;=2,$A30&lt;&gt;0),0,IF($A30=3,OFFSET(E30,-1,0)+1,OFFSET(E30,-1,0)))</f>
        <v>0</v>
      </c>
      <c r="F30">
        <f aca="true" ca="1" t="shared" si="18" ref="F30:F41">IF(AND($A30&lt;=3,$A30&lt;&gt;0),0,IF($A30=4,OFFSET(F30,-1,0)+1,OFFSET(F30,-1,0)))</f>
        <v>0</v>
      </c>
      <c r="G30">
        <f aca="true" ca="1" t="shared" si="19" ref="G30:G41">IF(AND($A30&lt;=4,$A30&lt;&gt;0),0,IF($A30="S",OFFSET(G30,-1,0)+1,OFFSET(G30,-1,0)))</f>
        <v>0</v>
      </c>
      <c r="H30">
        <f ca="1">IF(OR($A30="S",$A30=0),0,MATCH(0,OFFSET($B30,1,$A30,ROW($A$42)-ROW($A30)),0))</f>
        <v>12</v>
      </c>
      <c r="I30">
        <f ca="1">IF(OR($A30="S",$A30=0),0,MATCH(OFFSET($B30,0,$A30)+1,OFFSET($B30,1,$A30,ROW($A$42)-ROW($A30)),0))</f>
        <v>8</v>
      </c>
      <c r="J30" s="392" t="s">
        <v>100</v>
      </c>
      <c r="K30" s="162" t="str">
        <f aca="true" t="shared" si="20" ref="K30:K41">IF($A30=0,"-",CONCATENATE(C30&amp;".",IF(AND($A$5&gt;=2,$A30&gt;=2),D30&amp;".",""),IF(AND($A$5&gt;=3,$A30&gt;=3),E30&amp;".",""),IF(AND($A$5&gt;=4,$A30&gt;=4),F30&amp;".",""),IF($A30="S",G30&amp;".","")))</f>
        <v>1.4.</v>
      </c>
      <c r="L30" s="393"/>
      <c r="M30" s="393"/>
      <c r="N30" s="394" t="s">
        <v>277</v>
      </c>
      <c r="O30" s="395" t="s">
        <v>107</v>
      </c>
      <c r="P30" s="232">
        <f ca="1">OFFSET(PLQ!$E$12,ROW($P30)-ROW(P$12),0)</f>
        <v>0</v>
      </c>
      <c r="Q30" s="228"/>
      <c r="R30" s="231" t="s">
        <v>7</v>
      </c>
      <c r="S30" s="121">
        <f aca="true" t="shared" si="21" ref="S30:S41">IF($A30="S",IF($Q$10="Preço Unitário (R$)",PO.CustoUnitario,ROUND(PO.CustoUnitario*(1+$Z30),15-13*$X$6)),0)</f>
        <v>0</v>
      </c>
      <c r="T30" s="98">
        <f aca="true" t="shared" si="22" ref="T30:T41">IF($A30="S",VTOTAL1,IF($A30=0,0,ROUND(SomaAgrup,15-13*$X$7)))</f>
        <v>0</v>
      </c>
      <c r="U30" s="13" t="str">
        <f aca="true" t="shared" si="23" ref="U30:U41">IF($J30="","",IF($N30="","DESCRIÇÃO",IF(AND($J30="Serviço",$O30=""),"UNIDADE",IF($T30&lt;=0,"SEM VALOR",IF(AND($Y30&lt;&gt;"",$Q30&gt;$Y30),"ACIMA REF.","")))))</f>
        <v>SEM VALOR</v>
      </c>
      <c r="V30" s="4">
        <f ca="1">IF(OR($A30=0,$A30="S",$A30&gt;CFF!$A$9),"",MAX(V$12:OFFSET(V30,-1,0))+1)</f>
      </c>
      <c r="W30" s="9" t="b">
        <f aca="true" t="shared" si="24" ref="W30:W41">IF(AND($J30="Serviço",$M30&lt;&gt;""),IF($L30="",$M30,CONCATENATE($L30,"-",$M30)))</f>
        <v>0</v>
      </c>
      <c r="X30" s="4" t="str">
        <f aca="true" ca="1" t="shared" si="25" ref="X30:X41">IF(AND(Fonte&lt;&gt;"",Código&lt;&gt;""),MATCH(Fonte&amp;" "&amp;IF(Fonte="sinapi",SUBSTITUTE(SUBSTITUTE(Código,"/00","/"),"/0","/"),Código),INDIRECT("'[Referência "&amp;DATABASE&amp;".xls]Banco'!$a:$a"),0),"X")</f>
        <v>X</v>
      </c>
      <c r="Y30" s="121">
        <v>0</v>
      </c>
      <c r="Z30" s="132">
        <f>ROUND(IF(ISNUMBER(R30),R30,IF(LEFT(R30,3)="BDI",HLOOKUP(R30,DADOS!$T$37:$X$38,2,FALSE),0)),15-11*$X$5)</f>
        <v>0.285</v>
      </c>
      <c r="AA30" s="4"/>
    </row>
    <row r="31" spans="1:27" ht="25.5">
      <c r="A31" t="str">
        <f t="shared" si="13"/>
        <v>S</v>
      </c>
      <c r="B31">
        <f t="shared" si="14"/>
        <v>0</v>
      </c>
      <c r="C31">
        <f ca="1" t="shared" si="15"/>
        <v>1</v>
      </c>
      <c r="D31">
        <f ca="1" t="shared" si="16"/>
        <v>4</v>
      </c>
      <c r="E31">
        <f ca="1" t="shared" si="17"/>
        <v>0</v>
      </c>
      <c r="F31">
        <f ca="1" t="shared" si="18"/>
        <v>0</v>
      </c>
      <c r="G31">
        <f ca="1" t="shared" si="19"/>
        <v>1</v>
      </c>
      <c r="H31">
        <f ca="1">IF(OR($A31="S",$A31=0),0,MATCH(0,OFFSET($B31,1,$A31,ROW($A$42)-ROW($A31)),0))</f>
        <v>0</v>
      </c>
      <c r="I31">
        <f ca="1">IF(OR($A31="S",$A31=0),0,MATCH(OFFSET($B31,0,$A31)+1,OFFSET($B31,1,$A31,ROW($A$42)-ROW($A31)),0))</f>
        <v>0</v>
      </c>
      <c r="J31" s="392" t="s">
        <v>103</v>
      </c>
      <c r="K31" s="162" t="str">
        <f t="shared" si="20"/>
        <v>1.4.0.1.</v>
      </c>
      <c r="L31" s="393" t="s">
        <v>231</v>
      </c>
      <c r="M31" s="393" t="s">
        <v>247</v>
      </c>
      <c r="N31" s="394" t="s">
        <v>293</v>
      </c>
      <c r="O31" s="395" t="s">
        <v>234</v>
      </c>
      <c r="P31" s="232">
        <f ca="1">OFFSET(PLQ!$E$12,ROW($P31)-ROW(P$12),0)</f>
        <v>200.25</v>
      </c>
      <c r="Q31" s="228"/>
      <c r="R31" s="231" t="s">
        <v>7</v>
      </c>
      <c r="S31" s="121">
        <f t="shared" si="21"/>
        <v>0</v>
      </c>
      <c r="T31" s="98">
        <f t="shared" si="22"/>
        <v>0</v>
      </c>
      <c r="U31" s="13" t="str">
        <f t="shared" si="23"/>
        <v>SEM VALOR</v>
      </c>
      <c r="V31" s="4">
        <f ca="1">IF(OR($A31=0,$A31="S",$A31&gt;CFF!$A$9),"",MAX(V$12:OFFSET(V31,-1,0))+1)</f>
      </c>
      <c r="W31" s="9" t="str">
        <f t="shared" si="24"/>
        <v>SINAPI-72947</v>
      </c>
      <c r="X31" s="4">
        <f ca="1" t="shared" si="25"/>
        <v>5210</v>
      </c>
      <c r="Y31" s="121">
        <v>17.85</v>
      </c>
      <c r="Z31" s="132">
        <f>ROUND(IF(ISNUMBER(R31),R31,IF(LEFT(R31,3)="BDI",HLOOKUP(R31,DADOS!$T$37:$X$38,2,FALSE),0)),15-11*$X$5)</f>
        <v>0.285</v>
      </c>
      <c r="AA31" s="4"/>
    </row>
    <row r="32" spans="1:27" ht="12.75">
      <c r="A32" t="str">
        <f>CHOOSE(1+LOG(1+2*(J32="Meta")+4*(J32="Nível 2")+8*(J32="Nível 3")+16*(J32="Nível 4")+32*(J32="Serviço"),2),0,1,2,3,4,"S")</f>
        <v>S</v>
      </c>
      <c r="B32">
        <f>IF(OR(A32="S",A32=0),0,IF(ISERROR(I32),H32,SMALL(H32:I32,1)))</f>
        <v>0</v>
      </c>
      <c r="C32">
        <f ca="1">IF($A32=1,OFFSET(C32,-1,0)+1,OFFSET(C32,-1,0))</f>
        <v>1</v>
      </c>
      <c r="D32">
        <f ca="1">IF($A32=1,0,IF($A32=2,OFFSET(D32,-1,0)+1,OFFSET(D32,-1,0)))</f>
        <v>4</v>
      </c>
      <c r="E32">
        <f ca="1">IF(AND($A32&lt;=2,$A32&lt;&gt;0),0,IF($A32=3,OFFSET(E32,-1,0)+1,OFFSET(E32,-1,0)))</f>
        <v>0</v>
      </c>
      <c r="F32">
        <f ca="1">IF(AND($A32&lt;=3,$A32&lt;&gt;0),0,IF($A32=4,OFFSET(F32,-1,0)+1,OFFSET(F32,-1,0)))</f>
        <v>0</v>
      </c>
      <c r="G32">
        <f ca="1">IF(AND($A32&lt;=4,$A32&lt;&gt;0),0,IF($A32="S",OFFSET(G32,-1,0)+1,OFFSET(G32,-1,0)))</f>
        <v>2</v>
      </c>
      <c r="H32">
        <f ca="1">IF(OR($A32="S",$A32=0),0,MATCH(0,OFFSET($B32,1,$A32,ROW($A$42)-ROW($A32)),0))</f>
        <v>0</v>
      </c>
      <c r="I32">
        <f ca="1">IF(OR($A32="S",$A32=0),0,MATCH(OFFSET($B32,0,$A32)+1,OFFSET($B32,1,$A32,ROW($A$42)-ROW($A32)),0))</f>
        <v>0</v>
      </c>
      <c r="J32" s="392" t="s">
        <v>103</v>
      </c>
      <c r="K32" s="162" t="str">
        <f>IF($A32=0,"-",CONCATENATE(C32&amp;".",IF(AND($A$5&gt;=2,$A32&gt;=2),D32&amp;".",""),IF(AND($A$5&gt;=3,$A32&gt;=3),E32&amp;".",""),IF(AND($A$5&gt;=4,$A32&gt;=4),F32&amp;".",""),IF($A32="S",G32&amp;".","")))</f>
        <v>1.4.0.2.</v>
      </c>
      <c r="L32" s="393" t="s">
        <v>231</v>
      </c>
      <c r="M32" s="393" t="s">
        <v>278</v>
      </c>
      <c r="N32" s="394" t="s">
        <v>294</v>
      </c>
      <c r="O32" s="395" t="s">
        <v>306</v>
      </c>
      <c r="P32" s="232">
        <f ca="1">OFFSET(PLQ!$E$12,ROW($P32)-ROW(P$12),0)</f>
        <v>20</v>
      </c>
      <c r="Q32" s="228"/>
      <c r="R32" s="231" t="s">
        <v>7</v>
      </c>
      <c r="S32" s="121">
        <f>IF($A32="S",IF($Q$10="Preço Unitário (R$)",PO.CustoUnitario,ROUND(PO.CustoUnitario*(1+$Z32),15-13*$X$6)),0)</f>
        <v>0</v>
      </c>
      <c r="T32" s="98">
        <f>IF($A32="S",VTOTAL1,IF($A32=0,0,ROUND(SomaAgrup,15-13*$X$7)))</f>
        <v>0</v>
      </c>
      <c r="U32" s="13" t="str">
        <f>IF($J32="","",IF($N32="","DESCRIÇÃO",IF(AND($J32="Serviço",$O32=""),"UNIDADE",IF($T32&lt;=0,"SEM VALOR",IF(AND($Y32&lt;&gt;"",$Q32&gt;$Y32),"ACIMA REF.","")))))</f>
        <v>SEM VALOR</v>
      </c>
      <c r="V32" s="4">
        <f ca="1">IF(OR($A32=0,$A32="S",$A32&gt;CFF!$A$9),"",MAX(V$12:OFFSET(V32,-1,0))+1)</f>
      </c>
      <c r="W32" s="9" t="str">
        <f>IF(AND($J32="Serviço",$M32&lt;&gt;""),IF($L32="",$M32,CONCATENATE($L32,"-",$M32)))</f>
        <v>SINAPI-73916/002</v>
      </c>
      <c r="X32" s="4">
        <f ca="1">IF(AND(Fonte&lt;&gt;"",Código&lt;&gt;""),MATCH(Fonte&amp;" "&amp;IF(Fonte="sinapi",SUBSTITUTE(SUBSTITUTE(Código,"/00","/"),"/0","/"),Código),INDIRECT("'[Referência "&amp;DATABASE&amp;".xls]Banco'!$a:$a"),0),"X")</f>
        <v>6001</v>
      </c>
      <c r="Y32" s="121">
        <v>135.35</v>
      </c>
      <c r="Z32" s="132">
        <f>ROUND(IF(ISNUMBER(R32),R32,IF(LEFT(R32,3)="BDI",HLOOKUP(R32,DADOS!$T$37:$X$38,2,FALSE),0)),15-11*$X$5)</f>
        <v>0.285</v>
      </c>
      <c r="AA32" s="4"/>
    </row>
    <row r="33" spans="1:27" ht="12.75">
      <c r="A33" t="str">
        <f t="shared" si="13"/>
        <v>S</v>
      </c>
      <c r="B33">
        <f t="shared" si="14"/>
        <v>0</v>
      </c>
      <c r="C33">
        <f ca="1" t="shared" si="15"/>
        <v>1</v>
      </c>
      <c r="D33">
        <f ca="1" t="shared" si="16"/>
        <v>4</v>
      </c>
      <c r="E33">
        <f ca="1" t="shared" si="17"/>
        <v>0</v>
      </c>
      <c r="F33">
        <f ca="1" t="shared" si="18"/>
        <v>0</v>
      </c>
      <c r="G33">
        <f ca="1" t="shared" si="19"/>
        <v>3</v>
      </c>
      <c r="H33">
        <f ca="1">IF(OR($A33="S",$A33=0),0,MATCH(0,OFFSET($B33,1,$A33,ROW($A$42)-ROW($A33)),0))</f>
        <v>0</v>
      </c>
      <c r="I33">
        <f ca="1">IF(OR($A33="S",$A33=0),0,MATCH(OFFSET($B33,0,$A33)+1,OFFSET($B33,1,$A33,ROW($A$42)-ROW($A33)),0))</f>
        <v>0</v>
      </c>
      <c r="J33" s="392" t="s">
        <v>103</v>
      </c>
      <c r="K33" s="162" t="str">
        <f t="shared" si="20"/>
        <v>1.4.0.3.</v>
      </c>
      <c r="L33" s="393" t="s">
        <v>237</v>
      </c>
      <c r="M33" s="393" t="s">
        <v>246</v>
      </c>
      <c r="N33" s="394" t="s">
        <v>295</v>
      </c>
      <c r="O33" s="395" t="s">
        <v>307</v>
      </c>
      <c r="P33" s="232">
        <f ca="1">OFFSET(PLQ!$E$12,ROW($P33)-ROW(P$12),0)</f>
        <v>5.9</v>
      </c>
      <c r="Q33" s="228"/>
      <c r="R33" s="231" t="s">
        <v>7</v>
      </c>
      <c r="S33" s="121">
        <f t="shared" si="21"/>
        <v>0</v>
      </c>
      <c r="T33" s="98">
        <f t="shared" si="22"/>
        <v>0</v>
      </c>
      <c r="U33" s="13" t="str">
        <f t="shared" si="23"/>
        <v>SEM VALOR</v>
      </c>
      <c r="V33" s="4">
        <f ca="1">IF(OR($A33=0,$A33="S",$A33&gt;CFF!$A$9),"",MAX(V$12:OFFSET(V33,-1,0))+1)</f>
      </c>
      <c r="W33" s="9" t="str">
        <f t="shared" si="24"/>
        <v>SINAPI-I-34723</v>
      </c>
      <c r="X33" s="4">
        <f ca="1" t="shared" si="25"/>
        <v>10160</v>
      </c>
      <c r="Y33" s="121">
        <v>890.51</v>
      </c>
      <c r="Z33" s="132">
        <f>ROUND(IF(ISNUMBER(R33),R33,IF(LEFT(R33,3)="BDI",HLOOKUP(R33,DADOS!$T$37:$X$38,2,FALSE),0)),15-11*$X$5)</f>
        <v>0.285</v>
      </c>
      <c r="AA33" s="4"/>
    </row>
    <row r="34" spans="1:27" ht="12.75">
      <c r="A34" t="str">
        <f t="shared" si="13"/>
        <v>S</v>
      </c>
      <c r="B34">
        <f t="shared" si="14"/>
        <v>0</v>
      </c>
      <c r="C34">
        <f ca="1" t="shared" si="15"/>
        <v>1</v>
      </c>
      <c r="D34">
        <f ca="1" t="shared" si="16"/>
        <v>4</v>
      </c>
      <c r="E34">
        <f ca="1" t="shared" si="17"/>
        <v>0</v>
      </c>
      <c r="F34">
        <f ca="1" t="shared" si="18"/>
        <v>0</v>
      </c>
      <c r="G34">
        <f ca="1" t="shared" si="19"/>
        <v>4</v>
      </c>
      <c r="H34">
        <f ca="1">IF(OR($A34="S",$A34=0),0,MATCH(0,OFFSET($B34,1,$A34,ROW($A$42)-ROW($A34)),0))</f>
        <v>0</v>
      </c>
      <c r="I34">
        <f ca="1">IF(OR($A34="S",$A34=0),0,MATCH(OFFSET($B34,0,$A34)+1,OFFSET($B34,1,$A34,ROW($A$42)-ROW($A34)),0))</f>
        <v>0</v>
      </c>
      <c r="J34" s="392" t="s">
        <v>103</v>
      </c>
      <c r="K34" s="162" t="str">
        <f t="shared" si="20"/>
        <v>1.4.0.4.</v>
      </c>
      <c r="L34" s="393" t="s">
        <v>244</v>
      </c>
      <c r="M34" s="393" t="s">
        <v>245</v>
      </c>
      <c r="N34" s="394" t="s">
        <v>296</v>
      </c>
      <c r="O34" s="395" t="s">
        <v>308</v>
      </c>
      <c r="P34" s="232">
        <f ca="1">OFFSET(PLQ!$E$12,ROW($P34)-ROW(P$12),0)</f>
        <v>20</v>
      </c>
      <c r="Q34" s="228"/>
      <c r="R34" s="231" t="s">
        <v>7</v>
      </c>
      <c r="S34" s="121">
        <f t="shared" si="21"/>
        <v>0</v>
      </c>
      <c r="T34" s="98">
        <f t="shared" si="22"/>
        <v>0</v>
      </c>
      <c r="U34" s="13" t="str">
        <f t="shared" si="23"/>
        <v>SEM VALOR</v>
      </c>
      <c r="V34" s="4">
        <f ca="1">IF(OR($A34=0,$A34="S",$A34&gt;CFF!$A$9),"",MAX(V$12:OFFSET(V34,-1,0))+1)</f>
      </c>
      <c r="W34" s="9" t="str">
        <f t="shared" si="24"/>
        <v>PMN-CP-001</v>
      </c>
      <c r="X34" s="4">
        <f ca="1" t="shared" si="25"/>
        <v>7</v>
      </c>
      <c r="Y34" s="121">
        <v>326.69</v>
      </c>
      <c r="Z34" s="132">
        <f>ROUND(IF(ISNUMBER(R34),R34,IF(LEFT(R34,3)="BDI",HLOOKUP(R34,DADOS!$T$37:$X$38,2,FALSE),0)),15-11*$X$5)</f>
        <v>0.285</v>
      </c>
      <c r="AA34" s="4"/>
    </row>
    <row r="35" spans="1:27" ht="25.5">
      <c r="A35" t="str">
        <f t="shared" si="13"/>
        <v>S</v>
      </c>
      <c r="B35">
        <f t="shared" si="14"/>
        <v>0</v>
      </c>
      <c r="C35">
        <f ca="1" t="shared" si="15"/>
        <v>1</v>
      </c>
      <c r="D35">
        <f ca="1" t="shared" si="16"/>
        <v>4</v>
      </c>
      <c r="E35">
        <f ca="1" t="shared" si="17"/>
        <v>0</v>
      </c>
      <c r="F35">
        <f ca="1" t="shared" si="18"/>
        <v>0</v>
      </c>
      <c r="G35">
        <f ca="1" t="shared" si="19"/>
        <v>5</v>
      </c>
      <c r="H35">
        <f ca="1">IF(OR($A35="S",$A35=0),0,MATCH(0,OFFSET($B35,1,$A35,ROW($A$42)-ROW($A35)),0))</f>
        <v>0</v>
      </c>
      <c r="I35">
        <f ca="1">IF(OR($A35="S",$A35=0),0,MATCH(OFFSET($B35,0,$A35)+1,OFFSET($B35,1,$A35,ROW($A$42)-ROW($A35)),0))</f>
        <v>0</v>
      </c>
      <c r="J35" s="392" t="s">
        <v>103</v>
      </c>
      <c r="K35" s="162" t="str">
        <f t="shared" si="20"/>
        <v>1.4.0.5.</v>
      </c>
      <c r="L35" s="393" t="s">
        <v>231</v>
      </c>
      <c r="M35" s="393" t="s">
        <v>279</v>
      </c>
      <c r="N35" s="394" t="s">
        <v>297</v>
      </c>
      <c r="O35" s="395" t="s">
        <v>309</v>
      </c>
      <c r="P35" s="232">
        <f ca="1">OFFSET(PLQ!$E$12,ROW($P35)-ROW(P$12),0)</f>
        <v>950.97</v>
      </c>
      <c r="Q35" s="228"/>
      <c r="R35" s="231" t="s">
        <v>7</v>
      </c>
      <c r="S35" s="121">
        <f t="shared" si="21"/>
        <v>0</v>
      </c>
      <c r="T35" s="98">
        <f t="shared" si="22"/>
        <v>0</v>
      </c>
      <c r="U35" s="13" t="str">
        <f t="shared" si="23"/>
        <v>SEM VALOR</v>
      </c>
      <c r="V35" s="4">
        <f ca="1">IF(OR($A35=0,$A35="S",$A35&gt;CFF!$A$9),"",MAX(V$12:OFFSET(V35,-1,0))+1)</f>
      </c>
      <c r="W35" s="9" t="str">
        <f t="shared" si="24"/>
        <v>SINAPI-94267</v>
      </c>
      <c r="X35" s="4">
        <f ca="1" t="shared" si="25"/>
        <v>1628</v>
      </c>
      <c r="Y35" s="121">
        <v>41.53</v>
      </c>
      <c r="Z35" s="132">
        <f>ROUND(IF(ISNUMBER(R35),R35,IF(LEFT(R35,3)="BDI",HLOOKUP(R35,DADOS!$T$37:$X$38,2,FALSE),0)),15-11*$X$5)</f>
        <v>0.285</v>
      </c>
      <c r="AA35" s="4"/>
    </row>
    <row r="36" spans="1:27" ht="25.5">
      <c r="A36" t="str">
        <f t="shared" si="13"/>
        <v>S</v>
      </c>
      <c r="B36">
        <f t="shared" si="14"/>
        <v>0</v>
      </c>
      <c r="C36">
        <f ca="1" t="shared" si="15"/>
        <v>1</v>
      </c>
      <c r="D36">
        <f ca="1" t="shared" si="16"/>
        <v>4</v>
      </c>
      <c r="E36">
        <f ca="1" t="shared" si="17"/>
        <v>0</v>
      </c>
      <c r="F36">
        <f ca="1" t="shared" si="18"/>
        <v>0</v>
      </c>
      <c r="G36">
        <f ca="1" t="shared" si="19"/>
        <v>6</v>
      </c>
      <c r="H36">
        <f ca="1">IF(OR($A36="S",$A36=0),0,MATCH(0,OFFSET($B36,1,$A36,ROW($A$42)-ROW($A36)),0))</f>
        <v>0</v>
      </c>
      <c r="I36">
        <f ca="1">IF(OR($A36="S",$A36=0),0,MATCH(OFFSET($B36,0,$A36)+1,OFFSET($B36,1,$A36,ROW($A$42)-ROW($A36)),0))</f>
        <v>0</v>
      </c>
      <c r="J36" s="392" t="s">
        <v>103</v>
      </c>
      <c r="K36" s="162" t="str">
        <f t="shared" si="20"/>
        <v>1.4.0.6.</v>
      </c>
      <c r="L36" s="393" t="s">
        <v>231</v>
      </c>
      <c r="M36" s="393" t="s">
        <v>280</v>
      </c>
      <c r="N36" s="394" t="s">
        <v>298</v>
      </c>
      <c r="O36" s="395" t="s">
        <v>234</v>
      </c>
      <c r="P36" s="232">
        <f ca="1">OFFSET(PLQ!$E$12,ROW($P36)-ROW(P$12),0)</f>
        <v>1385.35</v>
      </c>
      <c r="Q36" s="228"/>
      <c r="R36" s="231" t="s">
        <v>7</v>
      </c>
      <c r="S36" s="121">
        <f t="shared" si="21"/>
        <v>0</v>
      </c>
      <c r="T36" s="98">
        <f t="shared" si="22"/>
        <v>0</v>
      </c>
      <c r="U36" s="13" t="str">
        <f t="shared" si="23"/>
        <v>SEM VALOR</v>
      </c>
      <c r="V36" s="4">
        <f ca="1">IF(OR($A36=0,$A36="S",$A36&gt;CFF!$A$9),"",MAX(V$12:OFFSET(V36,-1,0))+1)</f>
      </c>
      <c r="W36" s="9" t="str">
        <f t="shared" si="24"/>
        <v>SINAPI-94993</v>
      </c>
      <c r="X36" s="4">
        <f ca="1" t="shared" si="25"/>
        <v>5395</v>
      </c>
      <c r="Y36" s="121">
        <v>62.37</v>
      </c>
      <c r="Z36" s="132">
        <f>ROUND(IF(ISNUMBER(R36),R36,IF(LEFT(R36,3)="BDI",HLOOKUP(R36,DADOS!$T$37:$X$38,2,FALSE),0)),15-11*$X$5)</f>
        <v>0.285</v>
      </c>
      <c r="AA36" s="4"/>
    </row>
    <row r="37" spans="1:27" ht="12.75">
      <c r="A37" t="str">
        <f t="shared" si="13"/>
        <v>S</v>
      </c>
      <c r="B37">
        <f t="shared" si="14"/>
        <v>0</v>
      </c>
      <c r="C37">
        <f ca="1" t="shared" si="15"/>
        <v>1</v>
      </c>
      <c r="D37">
        <f ca="1" t="shared" si="16"/>
        <v>4</v>
      </c>
      <c r="E37">
        <f ca="1" t="shared" si="17"/>
        <v>0</v>
      </c>
      <c r="F37">
        <f ca="1" t="shared" si="18"/>
        <v>0</v>
      </c>
      <c r="G37">
        <f ca="1" t="shared" si="19"/>
        <v>7</v>
      </c>
      <c r="H37">
        <f ca="1">IF(OR($A37="S",$A37=0),0,MATCH(0,OFFSET($B37,1,$A37,ROW($A$42)-ROW($A37)),0))</f>
        <v>0</v>
      </c>
      <c r="I37">
        <f ca="1">IF(OR($A37="S",$A37=0),0,MATCH(OFFSET($B37,0,$A37)+1,OFFSET($B37,1,$A37,ROW($A$42)-ROW($A37)),0))</f>
        <v>0</v>
      </c>
      <c r="J37" s="392" t="s">
        <v>103</v>
      </c>
      <c r="K37" s="162" t="str">
        <f t="shared" si="20"/>
        <v>1.4.0.7.</v>
      </c>
      <c r="L37" s="393" t="s">
        <v>244</v>
      </c>
      <c r="M37" s="393" t="s">
        <v>248</v>
      </c>
      <c r="N37" s="394" t="s">
        <v>299</v>
      </c>
      <c r="O37" s="395" t="s">
        <v>309</v>
      </c>
      <c r="P37" s="232">
        <f ca="1">OFFSET(PLQ!$E$12,ROW($P37)-ROW(P$12),0)</f>
        <v>78.8</v>
      </c>
      <c r="Q37" s="228"/>
      <c r="R37" s="231" t="s">
        <v>7</v>
      </c>
      <c r="S37" s="121">
        <f t="shared" si="21"/>
        <v>0</v>
      </c>
      <c r="T37" s="98">
        <f t="shared" si="22"/>
        <v>0</v>
      </c>
      <c r="U37" s="13" t="str">
        <f t="shared" si="23"/>
        <v>SEM VALOR</v>
      </c>
      <c r="V37" s="4">
        <f ca="1">IF(OR($A37=0,$A37="S",$A37&gt;CFF!$A$9),"",MAX(V$12:OFFSET(V37,-1,0))+1)</f>
      </c>
      <c r="W37" s="9" t="str">
        <f t="shared" si="24"/>
        <v>PMN-CP-002</v>
      </c>
      <c r="X37" s="4">
        <f ca="1" t="shared" si="25"/>
        <v>8</v>
      </c>
      <c r="Y37" s="121">
        <v>25.15</v>
      </c>
      <c r="Z37" s="132">
        <f>ROUND(IF(ISNUMBER(R37),R37,IF(LEFT(R37,3)="BDI",HLOOKUP(R37,DADOS!$T$37:$X$38,2,FALSE),0)),15-11*$X$5)</f>
        <v>0.285</v>
      </c>
      <c r="AA37" s="4"/>
    </row>
    <row r="38" spans="1:27" ht="12.75">
      <c r="A38">
        <f t="shared" si="13"/>
        <v>2</v>
      </c>
      <c r="B38">
        <f t="shared" si="14"/>
        <v>4</v>
      </c>
      <c r="C38">
        <f ca="1" t="shared" si="15"/>
        <v>1</v>
      </c>
      <c r="D38">
        <f ca="1" t="shared" si="16"/>
        <v>5</v>
      </c>
      <c r="E38">
        <f ca="1" t="shared" si="17"/>
        <v>0</v>
      </c>
      <c r="F38">
        <f ca="1" t="shared" si="18"/>
        <v>0</v>
      </c>
      <c r="G38">
        <f ca="1" t="shared" si="19"/>
        <v>0</v>
      </c>
      <c r="H38">
        <f ca="1">IF(OR($A38="S",$A38=0),0,MATCH(0,OFFSET($B38,1,$A38,ROW($A$42)-ROW($A38)),0))</f>
        <v>4</v>
      </c>
      <c r="I38" t="e">
        <f ca="1">IF(OR($A38="S",$A38=0),0,MATCH(OFFSET($B38,0,$A38)+1,OFFSET($B38,1,$A38,ROW($A$42)-ROW($A38)),0))</f>
        <v>#N/A</v>
      </c>
      <c r="J38" s="392" t="s">
        <v>100</v>
      </c>
      <c r="K38" s="162" t="str">
        <f t="shared" si="20"/>
        <v>1.5.</v>
      </c>
      <c r="L38" s="393"/>
      <c r="M38" s="393"/>
      <c r="N38" s="394" t="s">
        <v>241</v>
      </c>
      <c r="O38" s="395" t="s">
        <v>107</v>
      </c>
      <c r="P38" s="232">
        <f ca="1">OFFSET(PLQ!$E$12,ROW($P38)-ROW(P$12),0)</f>
        <v>0</v>
      </c>
      <c r="Q38" s="228"/>
      <c r="R38" s="231" t="s">
        <v>7</v>
      </c>
      <c r="S38" s="121">
        <f t="shared" si="21"/>
        <v>0</v>
      </c>
      <c r="T38" s="98">
        <f t="shared" si="22"/>
        <v>0</v>
      </c>
      <c r="U38" s="13" t="str">
        <f t="shared" si="23"/>
        <v>SEM VALOR</v>
      </c>
      <c r="V38" s="4">
        <f ca="1">IF(OR($A38=0,$A38="S",$A38&gt;CFF!$A$9),"",MAX(V$12:OFFSET(V38,-1,0))+1)</f>
      </c>
      <c r="W38" s="9" t="b">
        <f t="shared" si="24"/>
        <v>0</v>
      </c>
      <c r="X38" s="4" t="str">
        <f ca="1" t="shared" si="25"/>
        <v>X</v>
      </c>
      <c r="Y38" s="121">
        <v>0</v>
      </c>
      <c r="Z38" s="132">
        <f>ROUND(IF(ISNUMBER(R38),R38,IF(LEFT(R38,3)="BDI",HLOOKUP(R38,DADOS!$T$37:$X$38,2,FALSE),0)),15-11*$X$5)</f>
        <v>0.285</v>
      </c>
      <c r="AA38" s="4"/>
    </row>
    <row r="39" spans="1:27" ht="25.5">
      <c r="A39" t="str">
        <f t="shared" si="13"/>
        <v>S</v>
      </c>
      <c r="B39">
        <f t="shared" si="14"/>
        <v>0</v>
      </c>
      <c r="C39">
        <f ca="1" t="shared" si="15"/>
        <v>1</v>
      </c>
      <c r="D39">
        <f ca="1" t="shared" si="16"/>
        <v>5</v>
      </c>
      <c r="E39">
        <f ca="1" t="shared" si="17"/>
        <v>0</v>
      </c>
      <c r="F39">
        <f ca="1" t="shared" si="18"/>
        <v>0</v>
      </c>
      <c r="G39">
        <f ca="1" t="shared" si="19"/>
        <v>1</v>
      </c>
      <c r="H39">
        <f ca="1">IF(OR($A39="S",$A39=0),0,MATCH(0,OFFSET($B39,1,$A39,ROW($A$42)-ROW($A39)),0))</f>
        <v>0</v>
      </c>
      <c r="I39">
        <f ca="1">IF(OR($A39="S",$A39=0),0,MATCH(OFFSET($B39,0,$A39)+1,OFFSET($B39,1,$A39,ROW($A$42)-ROW($A39)),0))</f>
        <v>0</v>
      </c>
      <c r="J39" s="392" t="s">
        <v>103</v>
      </c>
      <c r="K39" s="162" t="str">
        <f t="shared" si="20"/>
        <v>1.5.0.1.</v>
      </c>
      <c r="L39" s="393" t="s">
        <v>237</v>
      </c>
      <c r="M39" s="393" t="s">
        <v>238</v>
      </c>
      <c r="N39" s="394" t="s">
        <v>300</v>
      </c>
      <c r="O39" s="395" t="s">
        <v>310</v>
      </c>
      <c r="P39" s="232">
        <f ca="1">OFFSET(PLQ!$E$12,ROW($P39)-ROW(P$12),0)</f>
        <v>7.21</v>
      </c>
      <c r="Q39" s="228"/>
      <c r="R39" s="231" t="s">
        <v>7</v>
      </c>
      <c r="S39" s="121">
        <f t="shared" si="21"/>
        <v>0</v>
      </c>
      <c r="T39" s="98">
        <f t="shared" si="22"/>
        <v>0</v>
      </c>
      <c r="U39" s="13" t="str">
        <f t="shared" si="23"/>
        <v>SEM VALOR</v>
      </c>
      <c r="V39" s="4">
        <f ca="1">IF(OR($A39=0,$A39="S",$A39&gt;CFF!$A$9),"",MAX(V$12:OFFSET(V39,-1,0))+1)</f>
      </c>
      <c r="W39" s="9" t="str">
        <f t="shared" si="24"/>
        <v>SINAPI-I-1523</v>
      </c>
      <c r="X39" s="4">
        <f ca="1" t="shared" si="25"/>
        <v>7751</v>
      </c>
      <c r="Y39" s="121">
        <v>339.38</v>
      </c>
      <c r="Z39" s="132">
        <f>ROUND(IF(ISNUMBER(R39),R39,IF(LEFT(R39,3)="BDI",HLOOKUP(R39,DADOS!$T$37:$X$38,2,FALSE),0)),15-11*$X$5)</f>
        <v>0.285</v>
      </c>
      <c r="AA39" s="4"/>
    </row>
    <row r="40" spans="1:27" ht="25.5">
      <c r="A40" t="str">
        <f t="shared" si="13"/>
        <v>S</v>
      </c>
      <c r="B40">
        <f t="shared" si="14"/>
        <v>0</v>
      </c>
      <c r="C40">
        <f ca="1" t="shared" si="15"/>
        <v>1</v>
      </c>
      <c r="D40">
        <f ca="1" t="shared" si="16"/>
        <v>5</v>
      </c>
      <c r="E40">
        <f ca="1" t="shared" si="17"/>
        <v>0</v>
      </c>
      <c r="F40">
        <f ca="1" t="shared" si="18"/>
        <v>0</v>
      </c>
      <c r="G40">
        <f ca="1" t="shared" si="19"/>
        <v>2</v>
      </c>
      <c r="H40">
        <f ca="1">IF(OR($A40="S",$A40=0),0,MATCH(0,OFFSET($B40,1,$A40,ROW($A$42)-ROW($A40)),0))</f>
        <v>0</v>
      </c>
      <c r="I40">
        <f ca="1">IF(OR($A40="S",$A40=0),0,MATCH(OFFSET($B40,0,$A40)+1,OFFSET($B40,1,$A40,ROW($A$42)-ROW($A40)),0))</f>
        <v>0</v>
      </c>
      <c r="J40" s="392" t="s">
        <v>103</v>
      </c>
      <c r="K40" s="162" t="str">
        <f t="shared" si="20"/>
        <v>1.5.0.2.</v>
      </c>
      <c r="L40" s="393" t="s">
        <v>231</v>
      </c>
      <c r="M40" s="393" t="s">
        <v>239</v>
      </c>
      <c r="N40" s="394" t="s">
        <v>301</v>
      </c>
      <c r="O40" s="395" t="s">
        <v>303</v>
      </c>
      <c r="P40" s="232">
        <f ca="1">OFFSET(PLQ!$E$12,ROW($P40)-ROW(P$12),0)</f>
        <v>7.21</v>
      </c>
      <c r="Q40" s="228"/>
      <c r="R40" s="231" t="s">
        <v>7</v>
      </c>
      <c r="S40" s="121">
        <f t="shared" si="21"/>
        <v>0</v>
      </c>
      <c r="T40" s="98">
        <f t="shared" si="22"/>
        <v>0</v>
      </c>
      <c r="U40" s="13" t="str">
        <f t="shared" si="23"/>
        <v>SEM VALOR</v>
      </c>
      <c r="V40" s="4">
        <f ca="1">IF(OR($A40=0,$A40="S",$A40&gt;CFF!$A$9),"",MAX(V$12:OFFSET(V40,-1,0))+1)</f>
      </c>
      <c r="W40" s="9" t="str">
        <f t="shared" si="24"/>
        <v>SINAPI-92873</v>
      </c>
      <c r="X40" s="4">
        <f ca="1" t="shared" si="25"/>
        <v>2349</v>
      </c>
      <c r="Y40" s="121">
        <v>188.48</v>
      </c>
      <c r="Z40" s="132">
        <f>ROUND(IF(ISNUMBER(R40),R40,IF(LEFT(R40,3)="BDI",HLOOKUP(R40,DADOS!$T$37:$X$38,2,FALSE),0)),15-11*$X$5)</f>
        <v>0.285</v>
      </c>
      <c r="AA40" s="4"/>
    </row>
    <row r="41" spans="1:27" ht="38.25">
      <c r="A41" t="str">
        <f t="shared" si="13"/>
        <v>S</v>
      </c>
      <c r="B41">
        <f t="shared" si="14"/>
        <v>0</v>
      </c>
      <c r="C41">
        <f ca="1" t="shared" si="15"/>
        <v>1</v>
      </c>
      <c r="D41">
        <f ca="1" t="shared" si="16"/>
        <v>5</v>
      </c>
      <c r="E41">
        <f ca="1" t="shared" si="17"/>
        <v>0</v>
      </c>
      <c r="F41">
        <f ca="1" t="shared" si="18"/>
        <v>0</v>
      </c>
      <c r="G41">
        <f ca="1" t="shared" si="19"/>
        <v>3</v>
      </c>
      <c r="H41">
        <f ca="1">IF(OR($A41="S",$A41=0),0,MATCH(0,OFFSET($B41,1,$A41,ROW($A$42)-ROW($A41)),0))</f>
        <v>0</v>
      </c>
      <c r="I41">
        <f ca="1">IF(OR($A41="S",$A41=0),0,MATCH(OFFSET($B41,0,$A41)+1,OFFSET($B41,1,$A41,ROW($A$42)-ROW($A41)),0))</f>
        <v>0</v>
      </c>
      <c r="J41" s="392" t="s">
        <v>103</v>
      </c>
      <c r="K41" s="162" t="str">
        <f t="shared" si="20"/>
        <v>1.5.0.3.</v>
      </c>
      <c r="L41" s="393" t="s">
        <v>231</v>
      </c>
      <c r="M41" s="393" t="s">
        <v>240</v>
      </c>
      <c r="N41" s="394" t="s">
        <v>302</v>
      </c>
      <c r="O41" s="395" t="s">
        <v>234</v>
      </c>
      <c r="P41" s="232">
        <f ca="1">OFFSET(PLQ!$E$12,ROW($P41)-ROW(P$12),0)</f>
        <v>19.37</v>
      </c>
      <c r="Q41" s="228"/>
      <c r="R41" s="231" t="s">
        <v>7</v>
      </c>
      <c r="S41" s="121">
        <f t="shared" si="21"/>
        <v>0</v>
      </c>
      <c r="T41" s="98">
        <f t="shared" si="22"/>
        <v>0</v>
      </c>
      <c r="U41" s="13" t="str">
        <f t="shared" si="23"/>
        <v>SEM VALOR</v>
      </c>
      <c r="V41" s="4">
        <f ca="1">IF(OR($A41=0,$A41="S",$A41&gt;CFF!$A$9),"",MAX(V$12:OFFSET(V41,-1,0))+1)</f>
      </c>
      <c r="W41" s="9" t="str">
        <f t="shared" si="24"/>
        <v>SINAPI-92410</v>
      </c>
      <c r="X41" s="4">
        <f ca="1" t="shared" si="25"/>
        <v>2022</v>
      </c>
      <c r="Y41" s="121">
        <v>126.82</v>
      </c>
      <c r="Z41" s="132">
        <f>ROUND(IF(ISNUMBER(R41),R41,IF(LEFT(R41,3)="BDI",HLOOKUP(R41,DADOS!$T$37:$X$38,2,FALSE),0)),15-11*$X$5)</f>
        <v>0.285</v>
      </c>
      <c r="AA41" s="4"/>
    </row>
    <row r="42" spans="1:27" ht="12.75">
      <c r="A42">
        <v>-1</v>
      </c>
      <c r="C42">
        <v>0</v>
      </c>
      <c r="D42">
        <v>0</v>
      </c>
      <c r="E42">
        <v>0</v>
      </c>
      <c r="F42">
        <v>0</v>
      </c>
      <c r="G42">
        <v>0</v>
      </c>
      <c r="J42" s="83"/>
      <c r="K42" s="83"/>
      <c r="L42" s="83"/>
      <c r="M42" s="83"/>
      <c r="N42" s="83"/>
      <c r="O42" s="83"/>
      <c r="P42" s="83"/>
      <c r="Q42" s="83"/>
      <c r="R42" s="83"/>
      <c r="S42" s="83"/>
      <c r="T42" s="83"/>
      <c r="U42" s="4"/>
      <c r="V42" s="4"/>
      <c r="W42" s="4"/>
      <c r="X42" s="4"/>
      <c r="Y42" s="4"/>
      <c r="Z42" s="4"/>
      <c r="AA42" s="4"/>
    </row>
    <row r="43" spans="1:27" ht="14.25">
      <c r="A43" s="4"/>
      <c r="B43" s="4"/>
      <c r="C43" s="4"/>
      <c r="D43" s="4"/>
      <c r="E43" s="4"/>
      <c r="F43" s="4"/>
      <c r="G43" s="4"/>
      <c r="H43" s="4"/>
      <c r="I43" s="4"/>
      <c r="J43" s="4"/>
      <c r="K43" s="84" t="s">
        <v>62</v>
      </c>
      <c r="L43" s="4"/>
      <c r="M43" s="364" t="s">
        <v>142</v>
      </c>
      <c r="N43" s="365"/>
      <c r="O43" s="365"/>
      <c r="P43" s="365"/>
      <c r="Q43" s="365"/>
      <c r="R43" s="365"/>
      <c r="S43" s="365"/>
      <c r="T43" s="366"/>
      <c r="U43" s="4"/>
      <c r="V43" s="4"/>
      <c r="W43" s="4"/>
      <c r="X43" s="4"/>
      <c r="Y43" s="4"/>
      <c r="Z43" s="4"/>
      <c r="AA43" s="4"/>
    </row>
    <row r="44" spans="1:27" ht="12.75">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4.25">
      <c r="A45" s="4"/>
      <c r="B45" s="4"/>
      <c r="C45" s="4"/>
      <c r="D45" s="4"/>
      <c r="E45" s="4"/>
      <c r="F45" s="4"/>
      <c r="G45" s="4"/>
      <c r="H45" s="4"/>
      <c r="I45" s="4"/>
      <c r="J45" s="4"/>
      <c r="K45" s="90" t="s">
        <v>21</v>
      </c>
      <c r="L45" s="20"/>
      <c r="M45" s="20"/>
      <c r="N45" s="20"/>
      <c r="O45" s="20"/>
      <c r="P45" s="20"/>
      <c r="Q45" s="20"/>
      <c r="R45" s="20"/>
      <c r="S45" s="20"/>
      <c r="T45" s="89"/>
      <c r="U45" s="4"/>
      <c r="V45" s="4"/>
      <c r="W45" s="4"/>
      <c r="X45" s="4"/>
      <c r="Y45" s="4"/>
      <c r="Z45" s="4"/>
      <c r="AA45" s="4"/>
    </row>
    <row r="46" spans="1:27" ht="12.75" customHeight="1">
      <c r="A46" s="4"/>
      <c r="B46" s="4"/>
      <c r="C46" s="4"/>
      <c r="D46" s="4"/>
      <c r="E46" s="4"/>
      <c r="F46" s="4"/>
      <c r="G46" s="4"/>
      <c r="H46" s="4"/>
      <c r="I46" s="4"/>
      <c r="J46" s="4"/>
      <c r="K46" s="358"/>
      <c r="L46" s="359"/>
      <c r="M46" s="359"/>
      <c r="N46" s="359"/>
      <c r="O46" s="359"/>
      <c r="P46" s="359"/>
      <c r="Q46" s="359"/>
      <c r="R46" s="359"/>
      <c r="S46" s="359"/>
      <c r="T46" s="360"/>
      <c r="U46" s="4"/>
      <c r="V46" s="4"/>
      <c r="W46" s="4"/>
      <c r="X46" s="4"/>
      <c r="Y46" s="4"/>
      <c r="Z46" s="4"/>
      <c r="AA46" s="4"/>
    </row>
    <row r="47" spans="1:27" ht="12.75">
      <c r="A47" s="4"/>
      <c r="B47" s="4"/>
      <c r="C47" s="4"/>
      <c r="D47" s="4"/>
      <c r="E47" s="4"/>
      <c r="F47" s="4"/>
      <c r="G47" s="4"/>
      <c r="H47" s="4"/>
      <c r="I47" s="4"/>
      <c r="J47" s="4"/>
      <c r="K47" s="358"/>
      <c r="L47" s="359"/>
      <c r="M47" s="359"/>
      <c r="N47" s="359"/>
      <c r="O47" s="359"/>
      <c r="P47" s="359"/>
      <c r="Q47" s="359"/>
      <c r="R47" s="359"/>
      <c r="S47" s="359"/>
      <c r="T47" s="360"/>
      <c r="U47" s="4"/>
      <c r="V47" s="4"/>
      <c r="W47" s="4"/>
      <c r="X47" s="4"/>
      <c r="Y47" s="4"/>
      <c r="Z47" s="4"/>
      <c r="AA47" s="4"/>
    </row>
    <row r="48" spans="1:27" ht="12.75">
      <c r="A48" s="4"/>
      <c r="B48" s="4"/>
      <c r="C48" s="4"/>
      <c r="D48" s="4"/>
      <c r="E48" s="4"/>
      <c r="F48" s="4"/>
      <c r="G48" s="4"/>
      <c r="H48" s="4"/>
      <c r="I48" s="4"/>
      <c r="J48" s="4"/>
      <c r="K48" s="361"/>
      <c r="L48" s="362"/>
      <c r="M48" s="362"/>
      <c r="N48" s="362"/>
      <c r="O48" s="362"/>
      <c r="P48" s="362"/>
      <c r="Q48" s="362"/>
      <c r="R48" s="362"/>
      <c r="S48" s="362"/>
      <c r="T48" s="363"/>
      <c r="U48" s="4"/>
      <c r="V48" s="4"/>
      <c r="W48" s="4"/>
      <c r="X48" s="4"/>
      <c r="Y48" s="4"/>
      <c r="Z48" s="4"/>
      <c r="AA48" s="4"/>
    </row>
    <row r="49" spans="1:27" ht="14.25">
      <c r="A49" s="4"/>
      <c r="B49" s="4"/>
      <c r="C49" s="4"/>
      <c r="D49" s="4"/>
      <c r="E49" s="4"/>
      <c r="F49" s="4"/>
      <c r="G49" s="4"/>
      <c r="H49" s="4"/>
      <c r="I49" s="4"/>
      <c r="J49" s="4"/>
      <c r="K49" s="213"/>
      <c r="L49" s="213"/>
      <c r="M49" s="213"/>
      <c r="N49" s="213"/>
      <c r="O49" s="213"/>
      <c r="P49" s="213"/>
      <c r="Q49" s="213"/>
      <c r="R49" s="213"/>
      <c r="S49" s="213"/>
      <c r="T49" s="213"/>
      <c r="U49" s="4"/>
      <c r="V49" s="4"/>
      <c r="W49" s="4"/>
      <c r="X49" s="4"/>
      <c r="Y49" s="4"/>
      <c r="Z49" s="4"/>
      <c r="AA49" s="4"/>
    </row>
    <row r="50" spans="1:27" ht="15">
      <c r="A50" s="4"/>
      <c r="B50" s="4"/>
      <c r="C50" s="4"/>
      <c r="D50" s="4"/>
      <c r="E50" s="4"/>
      <c r="F50" s="4"/>
      <c r="G50" s="4"/>
      <c r="H50" s="4"/>
      <c r="I50" s="4"/>
      <c r="J50" s="4"/>
      <c r="K50" s="355"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50" s="356"/>
      <c r="M50" s="356"/>
      <c r="N50" s="356"/>
      <c r="O50" s="356"/>
      <c r="P50" s="356"/>
      <c r="Q50" s="356"/>
      <c r="R50" s="356"/>
      <c r="S50" s="356"/>
      <c r="T50" s="357"/>
      <c r="U50" s="4"/>
      <c r="V50" s="4"/>
      <c r="W50" s="4"/>
      <c r="X50" s="4"/>
      <c r="Y50" s="4"/>
      <c r="Z50" s="4"/>
      <c r="AA50" s="4"/>
    </row>
    <row r="51" spans="1:2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21"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 r="A53" s="4"/>
      <c r="B53" s="4"/>
      <c r="C53" s="4"/>
      <c r="D53" s="4"/>
      <c r="E53" s="4"/>
      <c r="F53" s="4"/>
      <c r="G53" s="4"/>
      <c r="H53" s="4"/>
      <c r="I53" s="4"/>
      <c r="J53" s="4"/>
      <c r="K53" s="368" t="str">
        <f>Import.Município</f>
        <v>NAVIRAÍ - MS</v>
      </c>
      <c r="L53" s="368"/>
      <c r="M53" s="368"/>
      <c r="N53" s="4"/>
      <c r="O53" s="4"/>
      <c r="P53" s="4"/>
      <c r="Q53" s="4"/>
      <c r="R53" s="4"/>
      <c r="S53" s="4"/>
      <c r="T53" s="4"/>
      <c r="U53" s="4"/>
      <c r="V53" s="4"/>
      <c r="W53" s="4"/>
      <c r="X53" s="4"/>
      <c r="Y53" s="4"/>
      <c r="Z53" s="4"/>
      <c r="AA53" s="4"/>
    </row>
    <row r="54" spans="1:27" ht="12.75">
      <c r="A54" s="4"/>
      <c r="B54" s="4"/>
      <c r="C54" s="4"/>
      <c r="D54" s="4"/>
      <c r="E54" s="4"/>
      <c r="F54" s="4"/>
      <c r="G54" s="4"/>
      <c r="H54" s="4"/>
      <c r="I54" s="4"/>
      <c r="J54" s="4"/>
      <c r="K54" s="112" t="s">
        <v>121</v>
      </c>
      <c r="L54" s="4"/>
      <c r="M54" s="4"/>
      <c r="N54" s="4"/>
      <c r="O54" s="4"/>
      <c r="P54" s="4"/>
      <c r="Q54" s="4"/>
      <c r="R54" s="4"/>
      <c r="S54" s="4"/>
      <c r="T54" s="4"/>
      <c r="U54" s="4"/>
      <c r="V54" s="4"/>
      <c r="W54" s="4"/>
      <c r="X54" s="4"/>
      <c r="Y54" s="4"/>
      <c r="Z54" s="4"/>
      <c r="AA54" s="4"/>
    </row>
    <row r="55" spans="1:2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2.75">
      <c r="A56" s="4"/>
      <c r="B56" s="4"/>
      <c r="C56" s="4"/>
      <c r="D56" s="4"/>
      <c r="E56" s="4"/>
      <c r="F56" s="4"/>
      <c r="G56" s="4"/>
      <c r="H56" s="4"/>
      <c r="I56" s="4"/>
      <c r="J56" s="4"/>
      <c r="K56" s="367">
        <f ca="1">TODAY()</f>
        <v>43966</v>
      </c>
      <c r="L56" s="367"/>
      <c r="M56" s="367"/>
      <c r="N56" s="4"/>
      <c r="O56" s="4"/>
      <c r="P56" s="4"/>
      <c r="Q56" s="4"/>
      <c r="R56" s="4"/>
      <c r="S56" s="4"/>
      <c r="T56" s="4"/>
      <c r="U56" s="4"/>
      <c r="V56" s="4"/>
      <c r="W56" s="4"/>
      <c r="X56" s="4"/>
      <c r="Y56" s="4"/>
      <c r="Z56" s="4"/>
      <c r="AA56" s="4"/>
    </row>
    <row r="57" spans="1:27" ht="12.75">
      <c r="A57" s="4"/>
      <c r="B57" s="4"/>
      <c r="C57" s="4"/>
      <c r="D57" s="4"/>
      <c r="E57" s="4"/>
      <c r="F57" s="4"/>
      <c r="G57" s="4"/>
      <c r="H57" s="4"/>
      <c r="I57" s="4"/>
      <c r="J57" s="4"/>
      <c r="K57" s="141" t="s">
        <v>122</v>
      </c>
      <c r="L57" s="83"/>
      <c r="M57" s="83"/>
      <c r="N57" s="4"/>
      <c r="O57" s="4"/>
      <c r="P57" s="4"/>
      <c r="Q57" s="4"/>
      <c r="R57" s="4"/>
      <c r="S57" s="4"/>
      <c r="T57" s="4"/>
      <c r="U57" s="4"/>
      <c r="V57" s="4"/>
      <c r="W57" s="4"/>
      <c r="X57" s="4"/>
      <c r="Y57" s="4"/>
      <c r="Z57" s="4"/>
      <c r="AA57" s="4"/>
    </row>
  </sheetData>
  <sheetProtection password="C95B" sheet="1" objects="1" scenarios="1"/>
  <mergeCells count="6">
    <mergeCell ref="W2:X2"/>
    <mergeCell ref="K50:T50"/>
    <mergeCell ref="K46:T48"/>
    <mergeCell ref="M43:T43"/>
    <mergeCell ref="K56:M56"/>
    <mergeCell ref="K53:M53"/>
  </mergeCells>
  <conditionalFormatting sqref="O12:R12 L12:M12">
    <cfRule type="expression" priority="6154" dxfId="226" stopIfTrue="1">
      <formula>$J12=$C$2</formula>
    </cfRule>
    <cfRule type="expression" priority="6155" dxfId="225" stopIfTrue="1">
      <formula>UPPER(LEFT($J12,5))="NÍVEL"</formula>
    </cfRule>
    <cfRule type="expression" priority="6156" dxfId="227" stopIfTrue="1">
      <formula>$J12=$C$8</formula>
    </cfRule>
  </conditionalFormatting>
  <conditionalFormatting sqref="Y12:Z12 S12:T12 K12">
    <cfRule type="expression" priority="6157" dxfId="226" stopIfTrue="1">
      <formula>$J12=$C$2</formula>
    </cfRule>
    <cfRule type="expression" priority="6158" dxfId="225" stopIfTrue="1">
      <formula>UPPER(LEFT($J12,5))="NÍVEL"</formula>
    </cfRule>
  </conditionalFormatting>
  <conditionalFormatting sqref="K11 K13:K14 K17:K41">
    <cfRule type="expression" priority="6170" dxfId="253" stopIfTrue="1">
      <formula>$J11=$C$2</formula>
    </cfRule>
    <cfRule type="expression" priority="6171" dxfId="78" stopIfTrue="1">
      <formula>AND($J11&lt;&gt;"",$J11&lt;&gt;"Serviço")</formula>
    </cfRule>
    <cfRule type="expression" priority="6172" dxfId="49" stopIfTrue="1">
      <formula>$J11=""</formula>
    </cfRule>
  </conditionalFormatting>
  <conditionalFormatting sqref="P11 P13:P14 P17:P41">
    <cfRule type="expression" priority="4497" dxfId="254" stopIfTrue="1">
      <formula>$J11=$C$2</formula>
    </cfRule>
    <cfRule type="expression" priority="6176" dxfId="69" stopIfTrue="1">
      <formula>AND($J11&lt;&gt;"Serviço")</formula>
    </cfRule>
    <cfRule type="expression" priority="6177" dxfId="190" stopIfTrue="1">
      <formula>CELL("proteger",P11)</formula>
    </cfRule>
  </conditionalFormatting>
  <conditionalFormatting sqref="Q11:R11 Q13:R14 Q15:Q16 Q17:R41">
    <cfRule type="expression" priority="6178" dxfId="255" stopIfTrue="1">
      <formula>$J11=$C$2</formula>
    </cfRule>
    <cfRule type="expression" priority="6179" dxfId="49" stopIfTrue="1">
      <formula>$J11&lt;&gt;"Serviço"</formula>
    </cfRule>
    <cfRule type="expression" priority="6180" dxfId="48" stopIfTrue="1">
      <formula>CELL("proteger",Q11)</formula>
    </cfRule>
  </conditionalFormatting>
  <conditionalFormatting sqref="S11:T11 Y11:Z11 S13:T14 Y13:Z14 S17:T41 Y17:Z41">
    <cfRule type="expression" priority="6181" dxfId="253" stopIfTrue="1">
      <formula>$J11=$C$2</formula>
    </cfRule>
    <cfRule type="expression" priority="6182" dxfId="78" stopIfTrue="1">
      <formula>$J11&lt;&gt;"Serviço"</formula>
    </cfRule>
  </conditionalFormatting>
  <conditionalFormatting sqref="L11:M11 L13:M14 L17:M18 L22:M22 L30:M30 L38:M38">
    <cfRule type="expression" priority="6202" dxfId="255" stopIfTrue="1">
      <formula>$J11=$C$2</formula>
    </cfRule>
    <cfRule type="expression" priority="6203" dxfId="49" stopIfTrue="1">
      <formula>$J11&lt;&gt;"Serviço"</formula>
    </cfRule>
    <cfRule type="expression" priority="6204" dxfId="48" stopIfTrue="1">
      <formula>OR(CELL("proteger",L11),$J11="",TipoOrçamento="Licitado")</formula>
    </cfRule>
  </conditionalFormatting>
  <conditionalFormatting sqref="K43:T43">
    <cfRule type="expression" priority="6183" dxfId="33" stopIfTrue="1">
      <formula>OR(Tipo.Orçamento="LICITADO",Tipo.Orçamento="REPROGRAMADOAC")</formula>
    </cfRule>
    <cfRule type="expression" priority="6184" dxfId="209" stopIfTrue="1">
      <formula>$M$43=""</formula>
    </cfRule>
  </conditionalFormatting>
  <conditionalFormatting sqref="J11 J13:J14 J23:J25 J20 J27:J31 J35:J37">
    <cfRule type="expression" priority="6211" dxfId="2" stopIfTrue="1">
      <formula>TipoOrçamento="Licitado"</formula>
    </cfRule>
  </conditionalFormatting>
  <conditionalFormatting sqref="O11 O13:O14 O17:O41">
    <cfRule type="expression" priority="4517" dxfId="255" stopIfTrue="1">
      <formula>$J11=$C$2</formula>
    </cfRule>
    <cfRule type="expression" priority="4518" dxfId="49" stopIfTrue="1">
      <formula>AND($J11&lt;&gt;"Serviço")</formula>
    </cfRule>
    <cfRule type="expression" priority="4519" dxfId="48" stopIfTrue="1">
      <formula>CELL("proteger",O11)</formula>
    </cfRule>
  </conditionalFormatting>
  <conditionalFormatting sqref="N11 N14 N17:N41">
    <cfRule type="expression" priority="4520" dxfId="256" stopIfTrue="1">
      <formula>$J11=$C$2</formula>
    </cfRule>
    <cfRule type="expression" priority="4521" dxfId="78" stopIfTrue="1">
      <formula>$J11&lt;&gt;"Serviço"</formula>
    </cfRule>
    <cfRule type="expression" priority="4522" dxfId="2" stopIfTrue="1">
      <formula>CELL("proteger",N11)</formula>
    </cfRule>
  </conditionalFormatting>
  <conditionalFormatting sqref="N13">
    <cfRule type="expression" priority="4386" dxfId="256" stopIfTrue="1">
      <formula>$J13=$C$2</formula>
    </cfRule>
    <cfRule type="expression" priority="4387" dxfId="78" stopIfTrue="1">
      <formula>$J13&lt;&gt;"Serviço"</formula>
    </cfRule>
    <cfRule type="expression" priority="4388" dxfId="2" stopIfTrue="1">
      <formula>CELL("proteger",N13)</formula>
    </cfRule>
  </conditionalFormatting>
  <conditionalFormatting sqref="J22">
    <cfRule type="expression" priority="648" dxfId="2" stopIfTrue="1">
      <formula>TipoOrçamento="Licitado"</formula>
    </cfRule>
  </conditionalFormatting>
  <conditionalFormatting sqref="J33:J34">
    <cfRule type="expression" priority="513" dxfId="2" stopIfTrue="1">
      <formula>TipoOrçamento="Licitado"</formula>
    </cfRule>
  </conditionalFormatting>
  <conditionalFormatting sqref="J32">
    <cfRule type="expression" priority="447" dxfId="2" stopIfTrue="1">
      <formula>TipoOrçamento="Licitado"</formula>
    </cfRule>
  </conditionalFormatting>
  <conditionalFormatting sqref="K15:K16">
    <cfRule type="expression" priority="392" dxfId="253" stopIfTrue="1">
      <formula>$J15=$C$2</formula>
    </cfRule>
    <cfRule type="expression" priority="393" dxfId="78" stopIfTrue="1">
      <formula>AND($J15&lt;&gt;"",$J15&lt;&gt;"Serviço")</formula>
    </cfRule>
    <cfRule type="expression" priority="394" dxfId="49" stopIfTrue="1">
      <formula>$J15=""</formula>
    </cfRule>
  </conditionalFormatting>
  <conditionalFormatting sqref="P15:P16">
    <cfRule type="expression" priority="385" dxfId="254" stopIfTrue="1">
      <formula>$J15=$C$2</formula>
    </cfRule>
    <cfRule type="expression" priority="395" dxfId="69" stopIfTrue="1">
      <formula>AND($J15&lt;&gt;"Serviço")</formula>
    </cfRule>
    <cfRule type="expression" priority="396" dxfId="190" stopIfTrue="1">
      <formula>CELL("proteger",P15)</formula>
    </cfRule>
  </conditionalFormatting>
  <conditionalFormatting sqref="R15:R16">
    <cfRule type="expression" priority="397" dxfId="255" stopIfTrue="1">
      <formula>$J15=$C$2</formula>
    </cfRule>
    <cfRule type="expression" priority="398" dxfId="49" stopIfTrue="1">
      <formula>$J15&lt;&gt;"Serviço"</formula>
    </cfRule>
    <cfRule type="expression" priority="399" dxfId="48" stopIfTrue="1">
      <formula>CELL("proteger",R15)</formula>
    </cfRule>
  </conditionalFormatting>
  <conditionalFormatting sqref="S15:T16 Y15:Z16">
    <cfRule type="expression" priority="400" dxfId="253" stopIfTrue="1">
      <formula>$J15=$C$2</formula>
    </cfRule>
    <cfRule type="expression" priority="401" dxfId="78" stopIfTrue="1">
      <formula>$J15&lt;&gt;"Serviço"</formula>
    </cfRule>
  </conditionalFormatting>
  <conditionalFormatting sqref="J15:J16">
    <cfRule type="expression" priority="405" dxfId="2" stopIfTrue="1">
      <formula>TipoOrçamento="Licitado"</formula>
    </cfRule>
  </conditionalFormatting>
  <conditionalFormatting sqref="O15:O16">
    <cfRule type="expression" priority="386" dxfId="255" stopIfTrue="1">
      <formula>$J15=$C$2</formula>
    </cfRule>
    <cfRule type="expression" priority="387" dxfId="49" stopIfTrue="1">
      <formula>AND($J15&lt;&gt;"Serviço")</formula>
    </cfRule>
    <cfRule type="expression" priority="388" dxfId="48" stopIfTrue="1">
      <formula>CELL("proteger",O15)</formula>
    </cfRule>
  </conditionalFormatting>
  <conditionalFormatting sqref="N15:N16">
    <cfRule type="expression" priority="389" dxfId="256" stopIfTrue="1">
      <formula>$J15=$C$2</formula>
    </cfRule>
    <cfRule type="expression" priority="390" dxfId="78" stopIfTrue="1">
      <formula>$J15&lt;&gt;"Serviço"</formula>
    </cfRule>
    <cfRule type="expression" priority="391" dxfId="2" stopIfTrue="1">
      <formula>CELL("proteger",N15)</formula>
    </cfRule>
  </conditionalFormatting>
  <conditionalFormatting sqref="J26">
    <cfRule type="expression" priority="294" dxfId="2" stopIfTrue="1">
      <formula>TipoOrçamento="Licitado"</formula>
    </cfRule>
  </conditionalFormatting>
  <conditionalFormatting sqref="J38:J41">
    <cfRule type="expression" priority="213" dxfId="2" stopIfTrue="1">
      <formula>TipoOrçamento="Licitado"</formula>
    </cfRule>
  </conditionalFormatting>
  <conditionalFormatting sqref="J17 J19">
    <cfRule type="expression" priority="168" dxfId="2" stopIfTrue="1">
      <formula>TipoOrçamento="Licitado"</formula>
    </cfRule>
  </conditionalFormatting>
  <conditionalFormatting sqref="J18">
    <cfRule type="expression" priority="147" dxfId="2" stopIfTrue="1">
      <formula>TipoOrçamento="Licitado"</formula>
    </cfRule>
  </conditionalFormatting>
  <conditionalFormatting sqref="J21">
    <cfRule type="expression" priority="78" dxfId="2" stopIfTrue="1">
      <formula>TipoOrçamento="Licitado"</formula>
    </cfRule>
  </conditionalFormatting>
  <conditionalFormatting sqref="L15:M16">
    <cfRule type="expression" priority="13" dxfId="255" stopIfTrue="1">
      <formula>$J15=$C$2</formula>
    </cfRule>
    <cfRule type="expression" priority="14" dxfId="49" stopIfTrue="1">
      <formula>$J15&lt;&gt;"Serviço"</formula>
    </cfRule>
    <cfRule type="expression" priority="15" dxfId="48" stopIfTrue="1">
      <formula>OR(CELL("proteger",L15),$J15="",TipoOrçamento="Licitado")</formula>
    </cfRule>
  </conditionalFormatting>
  <conditionalFormatting sqref="L19:M21">
    <cfRule type="expression" priority="10" dxfId="255" stopIfTrue="1">
      <formula>$J19=$C$2</formula>
    </cfRule>
    <cfRule type="expression" priority="11" dxfId="49" stopIfTrue="1">
      <formula>$J19&lt;&gt;"Serviço"</formula>
    </cfRule>
    <cfRule type="expression" priority="12" dxfId="48" stopIfTrue="1">
      <formula>OR(CELL("proteger",L19),$J19="",TipoOrçamento="Licitado")</formula>
    </cfRule>
  </conditionalFormatting>
  <conditionalFormatting sqref="L23:M29">
    <cfRule type="expression" priority="7" dxfId="255" stopIfTrue="1">
      <formula>$J23=$C$2</formula>
    </cfRule>
    <cfRule type="expression" priority="8" dxfId="49" stopIfTrue="1">
      <formula>$J23&lt;&gt;"Serviço"</formula>
    </cfRule>
    <cfRule type="expression" priority="9" dxfId="48" stopIfTrue="1">
      <formula>OR(CELL("proteger",L23),$J23="",TipoOrçamento="Licitado")</formula>
    </cfRule>
  </conditionalFormatting>
  <conditionalFormatting sqref="L31:M37">
    <cfRule type="expression" priority="4" dxfId="255" stopIfTrue="1">
      <formula>$J31=$C$2</formula>
    </cfRule>
    <cfRule type="expression" priority="5" dxfId="49" stopIfTrue="1">
      <formula>$J31&lt;&gt;"Serviço"</formula>
    </cfRule>
    <cfRule type="expression" priority="6" dxfId="48" stopIfTrue="1">
      <formula>OR(CELL("proteger",L31),$J31="",TipoOrçamento="Licitado")</formula>
    </cfRule>
  </conditionalFormatting>
  <conditionalFormatting sqref="L39:M41">
    <cfRule type="expression" priority="1" dxfId="255" stopIfTrue="1">
      <formula>$J39=$C$2</formula>
    </cfRule>
    <cfRule type="expression" priority="2" dxfId="49" stopIfTrue="1">
      <formula>$J39&lt;&gt;"Serviço"</formula>
    </cfRule>
    <cfRule type="expression" priority="3" dxfId="48" stopIfTrue="1">
      <formula>OR(CELL("proteger",L39),$J39="",TipoOrçamento="Licitado")</formula>
    </cfRule>
  </conditionalFormatting>
  <dataValidations count="3">
    <dataValidation type="decimal" operator="greaterThan" allowBlank="1" showInputMessage="1" showErrorMessage="1" error="Apenas números decimais maiores que zero." sqref="Q11 Q13:Q41">
      <formula1>0</formula1>
    </dataValidation>
    <dataValidation errorStyle="warning" type="list" allowBlank="1" showInputMessage="1" showErrorMessage="1" error="Selecione um dos 5 BDI da lista.&#10;&#10;Caso tenha mais de 5 BDI nesta Planilha Orçamentária digite apenas valor percentual." sqref="R11 R13:R41">
      <formula1>Dados.Lista.BDI</formula1>
    </dataValidation>
    <dataValidation type="list" showInputMessage="1" showErrorMessage="1" promptTitle="Nível:" prompt="Selecione na lista o nível de itemização da Planilha." errorTitle="Erro de Entrada" error="Selecione somente os itens da lista." sqref="J11 J14:J41">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53 K56"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Plan2">
    <tabColor rgb="FFFFFF00"/>
  </sheetPr>
  <dimension ref="A1:U48"/>
  <sheetViews>
    <sheetView showGridLines="0" zoomScale="85" zoomScaleNormal="85" zoomScaleSheetLayoutView="100" zoomScalePageLayoutView="0" workbookViewId="0" topLeftCell="A1">
      <pane xSplit="5" ySplit="10" topLeftCell="F44" activePane="bottomRight" state="frozen"/>
      <selection pane="topLeft" activeCell="A1" sqref="A1"/>
      <selection pane="topRight" activeCell="A1" sqref="A1"/>
      <selection pane="bottomLeft" activeCell="A1" sqref="A1"/>
      <selection pane="bottomRight" activeCell="P1" sqref="P1"/>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75" customHeight="1">
      <c r="P4" s="20"/>
    </row>
    <row r="5" s="4" customFormat="1" ht="39.75" customHeight="1">
      <c r="P5" s="20"/>
    </row>
    <row r="6" s="4" customFormat="1" ht="20.25" customHeight="1">
      <c r="P6" s="20"/>
    </row>
    <row r="7" spans="5:16" s="4" customFormat="1" ht="12.75" customHeight="1" hidden="1">
      <c r="E7" s="224">
        <f ca="1">OFFSET(PO!$P$12,ROW($E7)-ROW(E$12),0)</f>
        <v>0</v>
      </c>
      <c r="P7" s="20"/>
    </row>
    <row r="8" s="4" customFormat="1" ht="9.75" customHeight="1">
      <c r="P8" s="20"/>
    </row>
    <row r="9" spans="2:21" s="4" customFormat="1" ht="60" customHeight="1">
      <c r="B9" s="17"/>
      <c r="C9" s="14"/>
      <c r="D9" s="9"/>
      <c r="E9" s="146" t="s">
        <v>46</v>
      </c>
      <c r="F9" s="397" t="s">
        <v>258</v>
      </c>
      <c r="G9" s="397" t="s">
        <v>259</v>
      </c>
      <c r="H9" s="397" t="s">
        <v>260</v>
      </c>
      <c r="I9" s="397" t="s">
        <v>261</v>
      </c>
      <c r="J9" s="397" t="s">
        <v>262</v>
      </c>
      <c r="K9" s="397"/>
      <c r="L9" s="397"/>
      <c r="M9" s="397"/>
      <c r="N9" s="397"/>
      <c r="O9" s="397"/>
      <c r="U9" s="122"/>
    </row>
    <row r="10" spans="1:21" s="15" customFormat="1" ht="30" customHeight="1">
      <c r="A10" s="123" t="s">
        <v>3</v>
      </c>
      <c r="B10" s="123" t="s">
        <v>148</v>
      </c>
      <c r="C10" s="123" t="s">
        <v>143</v>
      </c>
      <c r="D10" s="124" t="s">
        <v>159</v>
      </c>
      <c r="E10" s="123" t="s">
        <v>149</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f ca="1">IF(OFFSET(PO!N$12,ROW(C11)-ROW(C$12),0)=0,"",OFFSET(PO!N$12,ROW(C11)-ROW(C$12),0))</f>
      </c>
      <c r="D11" s="129">
        <f ca="1">IF(OFFSET(PO!O$12,ROW(D11)-ROW(D$12),0)=0,"",OFFSET(PO!O$12,ROW(D11)-ROW(D$12),0))</f>
      </c>
      <c r="E11" s="165">
        <f>IF($A11&lt;&gt;"Serviço",0,ROUND(SUMIF($F$9:$P$9,"&lt;&gt;",$F11:$P11),15-13*PO!$X$3))</f>
        <v>0</v>
      </c>
      <c r="F11" s="215"/>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38.25">
      <c r="A13" s="126" t="str">
        <f ca="1">OFFSET(PO!J$12,ROW(A13)-ROW($A$12),0)</f>
        <v>Meta</v>
      </c>
      <c r="B13" s="130" t="str">
        <f ca="1">IF($A13=0,"",OFFSET(PO!K$12,ROW(B13)-ROW(B$12),0))</f>
        <v>1.</v>
      </c>
      <c r="C13" s="127" t="str">
        <f ca="1">IF(OFFSET(PO!N$12,ROW(C13)-ROW(C$12),0)=0,"",OFFSET(PO!N$12,ROW(C13)-ROW(C$12),0))</f>
        <v>PAVIMENTAÇÃO ASFÁLTICA COM GUIAS, SARJETAS E PASSEIO, NAS RUA FLÓRIDA, GLÓRIA, LÍDIA. MARÍLIA E DILMA.</v>
      </c>
      <c r="D13" s="129">
        <f ca="1">IF(OFFSET(PO!O$12,ROW(D13)-ROW(D$12),0)=0,"",OFFSET(PO!O$12,ROW(D13)-ROW(D$12),0))</f>
      </c>
      <c r="E13" s="165">
        <f>IF($A13&lt;&gt;"Serviço",0,ROUND(SUMIF($F$9:$P$9,"&lt;&gt;",$F13:$P13),15-13*PO!$X$3))</f>
        <v>0</v>
      </c>
      <c r="F13" s="396">
        <v>0</v>
      </c>
      <c r="G13" s="396"/>
      <c r="H13" s="396"/>
      <c r="I13" s="396"/>
      <c r="J13" s="396"/>
      <c r="K13" s="396"/>
      <c r="L13" s="396"/>
      <c r="M13" s="396"/>
      <c r="N13" s="396"/>
      <c r="O13" s="396"/>
      <c r="U13" s="215"/>
    </row>
    <row r="14" spans="1:21" s="4" customFormat="1" ht="12.75">
      <c r="A14" s="128" t="str">
        <f ca="1">OFFSET(PO!J$12,ROW(A14)-ROW($A$12),0)</f>
        <v>Nível 2</v>
      </c>
      <c r="B14" s="130" t="str">
        <f ca="1">IF($A14=0,"",OFFSET(PO!K$12,ROW(B14)-ROW(B$12),0))</f>
        <v>1.1.</v>
      </c>
      <c r="C14" s="127" t="str">
        <f ca="1">IF(OFFSET(PO!N$12,ROW(C14)-ROW(C$12),0)=0,"",OFFSET(PO!N$12,ROW(C14)-ROW(C$12),0))</f>
        <v>SERVIÇOS PRELIMINARES</v>
      </c>
      <c r="D14" s="129">
        <f ca="1">IF(OFFSET(PO!O$12,ROW(D14)-ROW(D$12),0)=0,"",OFFSET(PO!O$12,ROW(D14)-ROW(D$12),0))</f>
      </c>
      <c r="E14" s="165">
        <f>IF($A14&lt;&gt;"Serviço",0,ROUND(SUMIF($F$9:$P$9,"&lt;&gt;",$F14:$P14),15-13*PO!$X$3))</f>
        <v>0</v>
      </c>
      <c r="F14" s="396">
        <v>0</v>
      </c>
      <c r="G14" s="396"/>
      <c r="H14" s="396"/>
      <c r="I14" s="396"/>
      <c r="J14" s="396"/>
      <c r="K14" s="396"/>
      <c r="L14" s="396"/>
      <c r="M14" s="396"/>
      <c r="N14" s="396"/>
      <c r="O14" s="396"/>
      <c r="U14" s="215"/>
    </row>
    <row r="15" spans="1:21" s="4" customFormat="1" ht="12.75">
      <c r="A15" s="128" t="str">
        <f ca="1">OFFSET(PO!J$12,ROW(A15)-ROW($A$12),0)</f>
        <v>Serviço</v>
      </c>
      <c r="B15" s="130" t="str">
        <f ca="1">IF($A15=0,"",OFFSET(PO!K$12,ROW(B15)-ROW(B$12),0))</f>
        <v>1.1.0.1.</v>
      </c>
      <c r="C15" s="127" t="str">
        <f ca="1">IF(OFFSET(PO!N$12,ROW(C15)-ROW(C$12),0)=0,"",OFFSET(PO!N$12,ROW(C15)-ROW(C$12),0))</f>
        <v>PLACA DE OBRA EM CHAPA DE ACO GALVANIZADO</v>
      </c>
      <c r="D15" s="129" t="str">
        <f ca="1">IF(OFFSET(PO!O$12,ROW(D15)-ROW(D$12),0)=0,"",OFFSET(PO!O$12,ROW(D15)-ROW(D$12),0))</f>
        <v>M2</v>
      </c>
      <c r="E15" s="165">
        <f>IF($A15&lt;&gt;"Serviço",0,ROUND(SUMIF($F$9:$P$9,"&lt;&gt;",$F15:$P15),15-13*PO!$X$3))</f>
        <v>16</v>
      </c>
      <c r="F15" s="396">
        <v>16</v>
      </c>
      <c r="G15" s="396"/>
      <c r="H15" s="396"/>
      <c r="I15" s="396"/>
      <c r="J15" s="396"/>
      <c r="K15" s="396"/>
      <c r="L15" s="396"/>
      <c r="M15" s="396"/>
      <c r="N15" s="396"/>
      <c r="O15" s="396"/>
      <c r="U15" s="215"/>
    </row>
    <row r="16" spans="1:21" s="4" customFormat="1" ht="38.25">
      <c r="A16" s="128" t="str">
        <f ca="1">OFFSET(PO!J$12,ROW(A16)-ROW($A$12),0)</f>
        <v>Serviço</v>
      </c>
      <c r="B16" s="130" t="str">
        <f ca="1">IF($A16=0,"",OFFSET(PO!K$12,ROW(B16)-ROW(B$12),0))</f>
        <v>1.1.0.2.</v>
      </c>
      <c r="C16" s="127" t="str">
        <f ca="1">IF(OFFSET(PO!N$12,ROW(C16)-ROW(C$12),0)=0,"",OFFSET(PO!N$12,ROW(C16)-ROW(C$12),0))</f>
        <v>EXECUÇÃO DE ALMOXARIFADO EM CANTEIRO DE OBRA EM CHAPA DE MADEIRA COMPENSADA, INCLUSO PRATELEIRAS. AF_02/2016</v>
      </c>
      <c r="D16" s="129" t="str">
        <f ca="1">IF(OFFSET(PO!O$12,ROW(D16)-ROW(D$12),0)=0,"",OFFSET(PO!O$12,ROW(D16)-ROW(D$12),0))</f>
        <v>M2</v>
      </c>
      <c r="E16" s="165">
        <f>IF($A16&lt;&gt;"Serviço",0,ROUND(SUMIF($F$9:$P$9,"&lt;&gt;",$F16:$P16),15-13*PO!$X$3))</f>
        <v>9</v>
      </c>
      <c r="F16" s="396">
        <v>9</v>
      </c>
      <c r="G16" s="396"/>
      <c r="H16" s="396"/>
      <c r="I16" s="396"/>
      <c r="J16" s="396"/>
      <c r="K16" s="396">
        <v>98</v>
      </c>
      <c r="L16" s="396">
        <v>104</v>
      </c>
      <c r="M16" s="396">
        <v>103</v>
      </c>
      <c r="N16" s="396">
        <v>70.3</v>
      </c>
      <c r="O16" s="396">
        <v>43</v>
      </c>
      <c r="U16" s="215"/>
    </row>
    <row r="17" spans="1:21" s="4" customFormat="1" ht="12.75">
      <c r="A17" s="128" t="str">
        <f ca="1">OFFSET(PO!J$12,ROW(A17)-ROW($A$12),0)</f>
        <v>Nível 2</v>
      </c>
      <c r="B17" s="130" t="str">
        <f ca="1">IF($A17=0,"",OFFSET(PO!K$12,ROW(B17)-ROW(B$12),0))</f>
        <v>1.2.</v>
      </c>
      <c r="C17" s="127" t="str">
        <f ca="1">IF(OFFSET(PO!N$12,ROW(C17)-ROW(C$12),0)=0,"",OFFSET(PO!N$12,ROW(C17)-ROW(C$12),0))</f>
        <v>TERRAPLANAGEM </v>
      </c>
      <c r="D17" s="129">
        <f ca="1">IF(OFFSET(PO!O$12,ROW(D17)-ROW(D$12),0)=0,"",OFFSET(PO!O$12,ROW(D17)-ROW(D$12),0))</f>
      </c>
      <c r="E17" s="165">
        <f>IF($A17&lt;&gt;"Serviço",0,ROUND(SUMIF($F$9:$P$9,"&lt;&gt;",$F17:$P17),15-13*PO!$X$3))</f>
        <v>0</v>
      </c>
      <c r="F17" s="396"/>
      <c r="G17" s="396"/>
      <c r="H17" s="396"/>
      <c r="I17" s="396"/>
      <c r="J17" s="396"/>
      <c r="K17" s="396"/>
      <c r="L17" s="396"/>
      <c r="M17" s="396"/>
      <c r="N17" s="396"/>
      <c r="O17" s="396"/>
      <c r="U17" s="215"/>
    </row>
    <row r="18" spans="1:21" s="4" customFormat="1" ht="12.75">
      <c r="A18" s="128" t="str">
        <f ca="1">OFFSET(PO!J$12,ROW(A18)-ROW($A$12),0)</f>
        <v>Nível 3</v>
      </c>
      <c r="B18" s="130" t="str">
        <f ca="1">IF($A18=0,"",OFFSET(PO!K$12,ROW(B18)-ROW(B$12),0))</f>
        <v>1.2.1.</v>
      </c>
      <c r="C18" s="127" t="str">
        <f ca="1">IF(OFFSET(PO!N$12,ROW(C18)-ROW(C$12),0)=0,"",OFFSET(PO!N$12,ROW(C18)-ROW(C$12),0))</f>
        <v>CORTE E ATERRO </v>
      </c>
      <c r="D18" s="129">
        <f ca="1">IF(OFFSET(PO!O$12,ROW(D18)-ROW(D$12),0)=0,"",OFFSET(PO!O$12,ROW(D18)-ROW(D$12),0))</f>
      </c>
      <c r="E18" s="165">
        <f>IF($A18&lt;&gt;"Serviço",0,ROUND(SUMIF($F$9:$P$9,"&lt;&gt;",$F18:$P18),15-13*PO!$X$3))</f>
        <v>0</v>
      </c>
      <c r="F18" s="396"/>
      <c r="G18" s="396"/>
      <c r="H18" s="396"/>
      <c r="I18" s="396"/>
      <c r="J18" s="396"/>
      <c r="K18" s="396"/>
      <c r="L18" s="396"/>
      <c r="M18" s="396"/>
      <c r="N18" s="396"/>
      <c r="O18" s="396">
        <v>71</v>
      </c>
      <c r="U18" s="215"/>
    </row>
    <row r="19" spans="1:21" s="4" customFormat="1" ht="51">
      <c r="A19" s="128" t="str">
        <f ca="1">OFFSET(PO!J$12,ROW(A19)-ROW($A$12),0)</f>
        <v>Serviço</v>
      </c>
      <c r="B19" s="130" t="str">
        <f ca="1">IF($A19=0,"",OFFSET(PO!K$12,ROW(B19)-ROW(B$12),0))</f>
        <v>1.2.1.1.</v>
      </c>
      <c r="C19" s="127" t="str">
        <f ca="1">IF(OFFSET(PO!N$12,ROW(C19)-ROW(C$12),0)=0,"",OFFSET(PO!N$12,ROW(C19)-ROW(C$12),0))</f>
        <v>CARGA E DESCARGA MECANICA DE SOLO UTILIZANDO CAMINHAO BASCULANTE 6,0M3/16T E PA CARREGADEIRA SOBRE PNEUS 128 HP, CAPACIDADE DA CAÇAMBA 1,7 A 2,8 M3, PESO OPERACIONAL 11632 KG</v>
      </c>
      <c r="D19" s="129" t="str">
        <f ca="1">IF(OFFSET(PO!O$12,ROW(D19)-ROW(D$12),0)=0,"",OFFSET(PO!O$12,ROW(D19)-ROW(D$12),0))</f>
        <v>M3</v>
      </c>
      <c r="E19" s="165">
        <f>IF($A19&lt;&gt;"Serviço",0,ROUND(SUMIF($F$9:$P$9,"&lt;&gt;",$F19:$P19),15-13*PO!$X$3))</f>
        <v>3253.84</v>
      </c>
      <c r="F19" s="396">
        <v>701.06</v>
      </c>
      <c r="G19" s="396">
        <v>691.38</v>
      </c>
      <c r="H19" s="396">
        <v>693.64</v>
      </c>
      <c r="I19" s="396">
        <v>691.38</v>
      </c>
      <c r="J19" s="396">
        <v>476.38</v>
      </c>
      <c r="K19" s="396"/>
      <c r="L19" s="396"/>
      <c r="M19" s="396"/>
      <c r="N19" s="396"/>
      <c r="O19" s="396">
        <v>71</v>
      </c>
      <c r="U19" s="215"/>
    </row>
    <row r="20" spans="1:21" s="4" customFormat="1" ht="38.25">
      <c r="A20" s="128" t="str">
        <f ca="1">OFFSET(PO!J$12,ROW(A20)-ROW($A$12),0)</f>
        <v>Serviço</v>
      </c>
      <c r="B20" s="130" t="str">
        <f ca="1">IF($A20=0,"",OFFSET(PO!K$12,ROW(B20)-ROW(B$12),0))</f>
        <v>1.2.1.2.</v>
      </c>
      <c r="C20" s="127" t="str">
        <f ca="1">IF(OFFSET(PO!N$12,ROW(C20)-ROW(C$12),0)=0,"",OFFSET(PO!N$12,ROW(C20)-ROW(C$12),0))</f>
        <v>ESCAVACAO MECANICA DE MATERIAL 1A. CATEGORIA, PROVENIENTE DE CORTE DE SUBLEITO (C/TRATOR ESTEIRAS  160HP)</v>
      </c>
      <c r="D20" s="129" t="str">
        <f ca="1">IF(OFFSET(PO!O$12,ROW(D20)-ROW(D$12),0)=0,"",OFFSET(PO!O$12,ROW(D20)-ROW(D$12),0))</f>
        <v>M3</v>
      </c>
      <c r="E20" s="165">
        <f>IF($A20&lt;&gt;"Serviço",0,ROUND(SUMIF($F$9:$P$9,"&lt;&gt;",$F20:$P20),15-13*PO!$X$3))</f>
        <v>2603.07</v>
      </c>
      <c r="F20" s="396">
        <v>560.84</v>
      </c>
      <c r="G20" s="396">
        <v>553.11</v>
      </c>
      <c r="H20" s="396">
        <v>554.91</v>
      </c>
      <c r="I20" s="396">
        <v>553.11</v>
      </c>
      <c r="J20" s="396">
        <v>381.1</v>
      </c>
      <c r="K20" s="396"/>
      <c r="L20" s="396"/>
      <c r="M20" s="396"/>
      <c r="N20" s="396"/>
      <c r="O20" s="396"/>
      <c r="U20" s="215"/>
    </row>
    <row r="21" spans="1:21" s="4" customFormat="1" ht="38.25">
      <c r="A21" s="128" t="str">
        <f ca="1">OFFSET(PO!J$12,ROW(A21)-ROW($A$12),0)</f>
        <v>Serviço</v>
      </c>
      <c r="B21" s="130" t="str">
        <f ca="1">IF($A21=0,"",OFFSET(PO!K$12,ROW(B21)-ROW(B$12),0))</f>
        <v>1.2.1.3.</v>
      </c>
      <c r="C21" s="127" t="str">
        <f ca="1">IF(OFFSET(PO!N$12,ROW(C21)-ROW(C$12),0)=0,"",OFFSET(PO!N$12,ROW(C21)-ROW(C$12),0))</f>
        <v>TRANSPORTE COM CAMINHÃO BASCULANTE DE 10 M3, EM VIA URBANA PAVIMENTADA, DMT ACIMA DE 30KM (UNIDADE: M3XKM). AF_04/2016</v>
      </c>
      <c r="D21" s="129" t="str">
        <f ca="1">IF(OFFSET(PO!O$12,ROW(D21)-ROW(D$12),0)=0,"",OFFSET(PO!O$12,ROW(D21)-ROW(D$12),0))</f>
        <v>M3XKM</v>
      </c>
      <c r="E21" s="165">
        <f>IF($A21&lt;&gt;"Serviço",0,ROUND(SUMIF($F$9:$P$9,"&lt;&gt;",$F21:$P21),15-13*PO!$X$3))</f>
        <v>13480.74</v>
      </c>
      <c r="F21" s="396">
        <v>2804.22</v>
      </c>
      <c r="G21" s="396">
        <v>2765.56</v>
      </c>
      <c r="H21" s="396">
        <v>2947.97</v>
      </c>
      <c r="I21" s="396">
        <v>2938.41</v>
      </c>
      <c r="J21" s="396">
        <v>2024.58</v>
      </c>
      <c r="K21" s="396"/>
      <c r="L21" s="396"/>
      <c r="M21" s="396"/>
      <c r="N21" s="396"/>
      <c r="O21" s="396">
        <v>71</v>
      </c>
      <c r="U21" s="215"/>
    </row>
    <row r="22" spans="1:21" s="4" customFormat="1" ht="12.75">
      <c r="A22" s="128" t="str">
        <f ca="1">OFFSET(PO!J$12,ROW(A22)-ROW($A$12),0)</f>
        <v>Nível 2</v>
      </c>
      <c r="B22" s="130" t="str">
        <f ca="1">IF($A22=0,"",OFFSET(PO!K$12,ROW(B22)-ROW(B$12),0))</f>
        <v>1.3.</v>
      </c>
      <c r="C22" s="127" t="str">
        <f ca="1">IF(OFFSET(PO!N$12,ROW(C22)-ROW(C$12),0)=0,"",OFFSET(PO!N$12,ROW(C22)-ROW(C$12),0))</f>
        <v>PAVIMENTAÇÃO ASFÁLTICA </v>
      </c>
      <c r="D22" s="129">
        <f ca="1">IF(OFFSET(PO!O$12,ROW(D22)-ROW(D$12),0)=0,"",OFFSET(PO!O$12,ROW(D22)-ROW(D$12),0))</f>
      </c>
      <c r="E22" s="165">
        <f>IF($A22&lt;&gt;"Serviço",0,ROUND(SUMIF($F$9:$P$9,"&lt;&gt;",$F22:$P22),15-13*PO!$X$3))</f>
        <v>0</v>
      </c>
      <c r="F22" s="165">
        <f>IF($A22&lt;&gt;"Serviço",0,ROUND(SUMIF($F$9:$O$9,"&lt;&gt;",$F22:$O22),15-13*'[1]PO'!$X$3))</f>
        <v>0</v>
      </c>
      <c r="G22" s="396"/>
      <c r="H22" s="396"/>
      <c r="I22" s="396"/>
      <c r="J22" s="396"/>
      <c r="K22" s="396"/>
      <c r="L22" s="396"/>
      <c r="M22" s="396"/>
      <c r="N22" s="396"/>
      <c r="O22" s="396"/>
      <c r="U22" s="215"/>
    </row>
    <row r="23" spans="1:21" s="4" customFormat="1" ht="25.5">
      <c r="A23" s="128" t="str">
        <f ca="1">OFFSET(PO!J$12,ROW(A23)-ROW($A$12),0)</f>
        <v>Serviço</v>
      </c>
      <c r="B23" s="130" t="str">
        <f ca="1">IF($A23=0,"",OFFSET(PO!K$12,ROW(B23)-ROW(B$12),0))</f>
        <v>1.3.0.1.</v>
      </c>
      <c r="C23" s="127" t="str">
        <f ca="1">IF(OFFSET(PO!N$12,ROW(C23)-ROW(C$12),0)=0,"",OFFSET(PO!N$12,ROW(C23)-ROW(C$12),0))</f>
        <v>COMPACTACAO MECANICA A 95% DO PROCTOR NORMAL - PAVIMENTACAO URBANA</v>
      </c>
      <c r="D23" s="129" t="str">
        <f ca="1">IF(OFFSET(PO!O$12,ROW(D23)-ROW(D$12),0)=0,"",OFFSET(PO!O$12,ROW(D23)-ROW(D$12),0))</f>
        <v>M2</v>
      </c>
      <c r="E23" s="165">
        <f>IF($A23&lt;&gt;"Serviço",0,ROUND(SUMIF($F$9:$P$9,"&lt;&gt;",$F23:$P23),15-13*PO!$X$3))</f>
        <v>1626.92</v>
      </c>
      <c r="F23" s="396">
        <v>350.53</v>
      </c>
      <c r="G23" s="396">
        <v>345.69</v>
      </c>
      <c r="H23" s="396">
        <v>346.82</v>
      </c>
      <c r="I23" s="396">
        <v>345.69</v>
      </c>
      <c r="J23" s="396">
        <v>238.19</v>
      </c>
      <c r="K23" s="396">
        <v>215</v>
      </c>
      <c r="L23" s="396">
        <v>229</v>
      </c>
      <c r="M23" s="396">
        <v>227</v>
      </c>
      <c r="N23" s="396">
        <v>130</v>
      </c>
      <c r="O23" s="396">
        <v>61</v>
      </c>
      <c r="U23" s="215"/>
    </row>
    <row r="24" spans="1:21" s="4" customFormat="1" ht="38.25">
      <c r="A24" s="128" t="str">
        <f ca="1">OFFSET(PO!J$12,ROW(A24)-ROW($A$12),0)</f>
        <v>Serviço</v>
      </c>
      <c r="B24" s="130" t="str">
        <f ca="1">IF($A24=0,"",OFFSET(PO!K$12,ROW(B24)-ROW(B$12),0))</f>
        <v>1.3.0.2.</v>
      </c>
      <c r="C24" s="127" t="str">
        <f ca="1">IF(OFFSET(PO!N$12,ROW(C24)-ROW(C$12),0)=0,"",OFFSET(PO!N$12,ROW(C24)-ROW(C$12),0))</f>
        <v>EXECUÇÃO E COMPACTAÇÃO DE BASE E OU SUB BASE COM BRITA GRADUADA SIMPLES - EXCLUSIVE CARGA E TRANSPORTE. AF_09/2017</v>
      </c>
      <c r="D24" s="129" t="str">
        <f ca="1">IF(OFFSET(PO!O$12,ROW(D24)-ROW(D$12),0)=0,"",OFFSET(PO!O$12,ROW(D24)-ROW(D$12),0))</f>
        <v>M3</v>
      </c>
      <c r="E24" s="165">
        <f>IF($A24&lt;&gt;"Serviço",0,ROUND(SUMIF($F$9:$P$9,"&lt;&gt;",$F24:$P24),15-13*PO!$X$3))</f>
        <v>607.38</v>
      </c>
      <c r="F24" s="396">
        <v>130.86</v>
      </c>
      <c r="G24" s="396">
        <v>129.06</v>
      </c>
      <c r="H24" s="396">
        <v>129.48</v>
      </c>
      <c r="I24" s="396">
        <v>129.06</v>
      </c>
      <c r="J24" s="396">
        <v>88.92</v>
      </c>
      <c r="K24" s="396">
        <v>22</v>
      </c>
      <c r="L24" s="396">
        <v>23</v>
      </c>
      <c r="M24" s="396">
        <v>23</v>
      </c>
      <c r="N24" s="396">
        <v>13</v>
      </c>
      <c r="O24" s="396">
        <v>6</v>
      </c>
      <c r="U24" s="215"/>
    </row>
    <row r="25" spans="1:21" s="4" customFormat="1" ht="12.75">
      <c r="A25" s="128" t="str">
        <f ca="1">OFFSET(PO!J$12,ROW(A25)-ROW($A$12),0)</f>
        <v>Serviço</v>
      </c>
      <c r="B25" s="130" t="str">
        <f ca="1">IF($A25=0,"",OFFSET(PO!K$12,ROW(B25)-ROW(B$12),0))</f>
        <v>1.3.0.3.</v>
      </c>
      <c r="C25" s="127" t="str">
        <f ca="1">IF(OFFSET(PO!N$12,ROW(C25)-ROW(C$12),0)=0,"",OFFSET(PO!N$12,ROW(C25)-ROW(C$12),0))</f>
        <v>TRANSPORTE COMERCIAL DE BRITA</v>
      </c>
      <c r="D25" s="129" t="str">
        <f ca="1">IF(OFFSET(PO!O$12,ROW(D25)-ROW(D$12),0)=0,"",OFFSET(PO!O$12,ROW(D25)-ROW(D$12),0))</f>
        <v>M3XKM</v>
      </c>
      <c r="E25" s="165">
        <f>IF($A25&lt;&gt;"Serviço",0,ROUND(SUMIF($F$9:$P$9,"&lt;&gt;",$F25:$P25),15-13*PO!$X$3))</f>
        <v>22560.5</v>
      </c>
      <c r="F25" s="396">
        <v>4763.44</v>
      </c>
      <c r="G25" s="396">
        <v>4697.76</v>
      </c>
      <c r="H25" s="396">
        <v>4881.37</v>
      </c>
      <c r="I25" s="396">
        <v>4865.54</v>
      </c>
      <c r="J25" s="396">
        <v>3352.39</v>
      </c>
      <c r="K25" s="396">
        <v>22</v>
      </c>
      <c r="L25" s="396">
        <v>23</v>
      </c>
      <c r="M25" s="396">
        <v>23</v>
      </c>
      <c r="N25" s="396">
        <v>13</v>
      </c>
      <c r="O25" s="396">
        <v>6</v>
      </c>
      <c r="U25" s="215"/>
    </row>
    <row r="26" spans="1:21" s="4" customFormat="1" ht="25.5">
      <c r="A26" s="128" t="str">
        <f ca="1">OFFSET(PO!J$12,ROW(A26)-ROW($A$12),0)</f>
        <v>Serviço</v>
      </c>
      <c r="B26" s="130" t="str">
        <f ca="1">IF($A26=0,"",OFFSET(PO!K$12,ROW(B26)-ROW(B$12),0))</f>
        <v>1.3.0.4.</v>
      </c>
      <c r="C26" s="127" t="str">
        <f ca="1">IF(OFFSET(PO!N$12,ROW(C26)-ROW(C$12),0)=0,"",OFFSET(PO!N$12,ROW(C26)-ROW(C$12),0))</f>
        <v>EXECUÇÃO DE IMPRIMAÇÃO COM ASFALTO DILUÍDO CM-30. AF_09/2017</v>
      </c>
      <c r="D26" s="129" t="str">
        <f ca="1">IF(OFFSET(PO!O$12,ROW(D26)-ROW(D$12),0)=0,"",OFFSET(PO!O$12,ROW(D26)-ROW(D$12),0))</f>
        <v>M2</v>
      </c>
      <c r="E26" s="165">
        <f>IF($A26&lt;&gt;"Serviço",0,ROUND(SUMIF($F$9:$P$9,"&lt;&gt;",$F26:$P26),15-13*PO!$X$3))</f>
        <v>4338.45</v>
      </c>
      <c r="F26" s="396">
        <v>934.74</v>
      </c>
      <c r="G26" s="396">
        <v>921.85</v>
      </c>
      <c r="H26" s="396">
        <v>924.85</v>
      </c>
      <c r="I26" s="396">
        <v>921.85</v>
      </c>
      <c r="J26" s="396">
        <v>635.16</v>
      </c>
      <c r="K26" s="396">
        <v>9</v>
      </c>
      <c r="L26" s="396">
        <v>9</v>
      </c>
      <c r="M26" s="396">
        <v>9</v>
      </c>
      <c r="N26" s="396">
        <v>5</v>
      </c>
      <c r="O26" s="396">
        <v>2</v>
      </c>
      <c r="U26" s="215"/>
    </row>
    <row r="27" spans="1:21" s="4" customFormat="1" ht="12.75">
      <c r="A27" s="128" t="str">
        <f ca="1">OFFSET(PO!J$12,ROW(A27)-ROW($A$12),0)</f>
        <v>Serviço</v>
      </c>
      <c r="B27" s="130" t="str">
        <f ca="1">IF($A27=0,"",OFFSET(PO!K$12,ROW(B27)-ROW(B$12),0))</f>
        <v>1.3.0.5.</v>
      </c>
      <c r="C27" s="127" t="str">
        <f ca="1">IF(OFFSET(PO!N$12,ROW(C27)-ROW(C$12),0)=0,"",OFFSET(PO!N$12,ROW(C27)-ROW(C$12),0))</f>
        <v>PINTURA DE LIGACAO COM EMULSAO RR-1C</v>
      </c>
      <c r="D27" s="129" t="str">
        <f ca="1">IF(OFFSET(PO!O$12,ROW(D27)-ROW(D$12),0)=0,"",OFFSET(PO!O$12,ROW(D27)-ROW(D$12),0))</f>
        <v>M2</v>
      </c>
      <c r="E27" s="165">
        <f>IF($A27&lt;&gt;"Serviço",0,ROUND(SUMIF($F$9:$P$9,"&lt;&gt;",$F27:$P27),15-13*PO!$X$3))</f>
        <v>4338.45</v>
      </c>
      <c r="F27" s="396">
        <v>934.74</v>
      </c>
      <c r="G27" s="396">
        <v>921.85</v>
      </c>
      <c r="H27" s="396">
        <v>924.85</v>
      </c>
      <c r="I27" s="396">
        <v>921.85</v>
      </c>
      <c r="J27" s="396">
        <v>635.16</v>
      </c>
      <c r="K27" s="396">
        <v>9</v>
      </c>
      <c r="L27" s="396">
        <v>9</v>
      </c>
      <c r="M27" s="396">
        <v>9</v>
      </c>
      <c r="N27" s="396">
        <v>5</v>
      </c>
      <c r="O27" s="396">
        <v>2</v>
      </c>
      <c r="U27" s="215"/>
    </row>
    <row r="28" spans="1:21" s="4" customFormat="1" ht="51">
      <c r="A28" s="128" t="str">
        <f ca="1">OFFSET(PO!J$12,ROW(A28)-ROW($A$12),0)</f>
        <v>Serviço</v>
      </c>
      <c r="B28" s="130" t="str">
        <f ca="1">IF($A28=0,"",OFFSET(PO!K$12,ROW(B28)-ROW(B$12),0))</f>
        <v>1.3.0.6.</v>
      </c>
      <c r="C28" s="127" t="str">
        <f ca="1">IF(OFFSET(PO!N$12,ROW(C28)-ROW(C$12),0)=0,"",OFFSET(PO!N$12,ROW(C28)-ROW(C$12),0))</f>
        <v>CONSTRUÇÃO DE PAVIMENTO COM APLICAÇÃO DE CONCRETO BETUMINOSO USINADO A QUENTE (CBUQ), CAMADA DE ROLAMENTO, COM ESPESSURA DE 3,0 CM - EXCLUSIVE TRANSPORTE. AF_03/2017</v>
      </c>
      <c r="D28" s="129" t="str">
        <f ca="1">IF(OFFSET(PO!O$12,ROW(D28)-ROW(D$12),0)=0,"",OFFSET(PO!O$12,ROW(D28)-ROW(D$12),0))</f>
        <v>M3</v>
      </c>
      <c r="E28" s="165">
        <f>IF($A28&lt;&gt;"Serviço",0,ROUND(SUMIF($F$9:$P$9,"&lt;&gt;",$F28:$P28),15-13*PO!$X$3))</f>
        <v>130.16</v>
      </c>
      <c r="F28" s="396">
        <v>28.04</v>
      </c>
      <c r="G28" s="396">
        <v>27.66</v>
      </c>
      <c r="H28" s="396">
        <v>27.75</v>
      </c>
      <c r="I28" s="396">
        <v>27.66</v>
      </c>
      <c r="J28" s="396">
        <v>19.05</v>
      </c>
      <c r="K28" s="396">
        <v>9</v>
      </c>
      <c r="L28" s="396">
        <v>9</v>
      </c>
      <c r="M28" s="396">
        <v>9</v>
      </c>
      <c r="N28" s="396">
        <v>5</v>
      </c>
      <c r="O28" s="396">
        <v>2</v>
      </c>
      <c r="U28" s="215"/>
    </row>
    <row r="29" spans="1:21" s="4" customFormat="1" ht="38.25">
      <c r="A29" s="128" t="str">
        <f ca="1">OFFSET(PO!J$12,ROW(A29)-ROW($A$12),0)</f>
        <v>Serviço</v>
      </c>
      <c r="B29" s="130" t="str">
        <f ca="1">IF($A29=0,"",OFFSET(PO!K$12,ROW(B29)-ROW(B$12),0))</f>
        <v>1.3.0.7.</v>
      </c>
      <c r="C29" s="127" t="str">
        <f ca="1">IF(OFFSET(PO!N$12,ROW(C29)-ROW(C$12),0)=0,"",OFFSET(PO!N$12,ROW(C29)-ROW(C$12),0))</f>
        <v>TRANSPORTE COM CAMINHÃO BASCULANTE DE 18 M3, EM VIA URBANA PAVIMENTADA, DMT ACIMA DE 30 KM (UNIDADE: TXKM). AF_09/2016</v>
      </c>
      <c r="D29" s="129" t="str">
        <f ca="1">IF(OFFSET(PO!O$12,ROW(D29)-ROW(D$12),0)=0,"",OFFSET(PO!O$12,ROW(D29)-ROW(D$12),0))</f>
        <v>TXKM</v>
      </c>
      <c r="E29" s="165">
        <f>IF($A29&lt;&gt;"Serviço",0,ROUND(SUMIF($F$9:$P$9,"&lt;&gt;",$F29:$P29),15-13*PO!$X$3))</f>
        <v>1092.66</v>
      </c>
      <c r="F29" s="396">
        <v>214.93</v>
      </c>
      <c r="G29" s="396">
        <v>211.96</v>
      </c>
      <c r="H29" s="396">
        <v>248.1</v>
      </c>
      <c r="I29" s="396">
        <v>247.29</v>
      </c>
      <c r="J29" s="396">
        <v>170.38</v>
      </c>
      <c r="K29" s="396">
        <v>215</v>
      </c>
      <c r="L29" s="396">
        <v>229</v>
      </c>
      <c r="M29" s="396">
        <v>227</v>
      </c>
      <c r="N29" s="396">
        <v>130</v>
      </c>
      <c r="O29" s="396">
        <v>61</v>
      </c>
      <c r="U29" s="215"/>
    </row>
    <row r="30" spans="1:21" s="4" customFormat="1" ht="12.75">
      <c r="A30" s="128" t="str">
        <f ca="1">OFFSET(PO!J$12,ROW(A30)-ROW($A$12),0)</f>
        <v>Nível 2</v>
      </c>
      <c r="B30" s="130" t="str">
        <f ca="1">IF($A30=0,"",OFFSET(PO!K$12,ROW(B30)-ROW(B$12),0))</f>
        <v>1.4.</v>
      </c>
      <c r="C30" s="127" t="str">
        <f ca="1">IF(OFFSET(PO!N$12,ROW(C30)-ROW(C$12),0)=0,"",OFFSET(PO!N$12,ROW(C30)-ROW(C$12),0))</f>
        <v>SERVIÇOS COMPLEMENTARES </v>
      </c>
      <c r="D30" s="129">
        <f ca="1">IF(OFFSET(PO!O$12,ROW(D30)-ROW(D$12),0)=0,"",OFFSET(PO!O$12,ROW(D30)-ROW(D$12),0))</f>
      </c>
      <c r="E30" s="165">
        <f>IF($A30&lt;&gt;"Serviço",0,ROUND(SUMIF($F$9:$P$9,"&lt;&gt;",$F30:$P30),15-13*PO!$X$3))</f>
        <v>0</v>
      </c>
      <c r="F30" s="165">
        <f>IF($A30&lt;&gt;"Serviço",0,ROUND(SUMIF($F$9:$O$9,"&lt;&gt;",$F30:$O30),15-13*'[1]PO'!$X$3))</f>
        <v>0</v>
      </c>
      <c r="G30" s="396"/>
      <c r="H30" s="396"/>
      <c r="I30" s="396"/>
      <c r="J30" s="396"/>
      <c r="K30" s="396"/>
      <c r="L30" s="396"/>
      <c r="M30" s="396"/>
      <c r="N30" s="396"/>
      <c r="O30" s="396"/>
      <c r="U30" s="215"/>
    </row>
    <row r="31" spans="1:21" s="4" customFormat="1" ht="25.5">
      <c r="A31" s="128" t="str">
        <f ca="1">OFFSET(PO!J$12,ROW(A31)-ROW($A$12),0)</f>
        <v>Serviço</v>
      </c>
      <c r="B31" s="130" t="str">
        <f ca="1">IF($A31=0,"",OFFSET(PO!K$12,ROW(B31)-ROW(B$12),0))</f>
        <v>1.4.0.1.</v>
      </c>
      <c r="C31" s="127" t="str">
        <f ca="1">IF(OFFSET(PO!N$12,ROW(C31)-ROW(C$12),0)=0,"",OFFSET(PO!N$12,ROW(C31)-ROW(C$12),0))</f>
        <v>SINALIZACAO HORIZONTAL COM TINTA RETRORREFLETIVA A BASE DE RESINA ACRILICA COM MICROESFERAS DE VIDRO</v>
      </c>
      <c r="D31" s="129" t="str">
        <f ca="1">IF(OFFSET(PO!O$12,ROW(D31)-ROW(D$12),0)=0,"",OFFSET(PO!O$12,ROW(D31)-ROW(D$12),0))</f>
        <v>M2</v>
      </c>
      <c r="E31" s="165">
        <f>IF($A31&lt;&gt;"Serviço",0,ROUND(SUMIF($F$9:$P$9,"&lt;&gt;",$F31:$P31),15-13*PO!$X$3))</f>
        <v>200.25</v>
      </c>
      <c r="F31" s="396">
        <v>41.85</v>
      </c>
      <c r="G31" s="396">
        <v>41.85</v>
      </c>
      <c r="H31" s="396">
        <f aca="true" t="shared" si="1" ref="H31:H37">F31</f>
        <v>41.85</v>
      </c>
      <c r="I31" s="396">
        <v>41.85</v>
      </c>
      <c r="J31" s="396">
        <v>32.85</v>
      </c>
      <c r="K31" s="396">
        <v>416</v>
      </c>
      <c r="L31" s="396">
        <v>441</v>
      </c>
      <c r="M31" s="396">
        <v>437</v>
      </c>
      <c r="N31" s="396">
        <v>258</v>
      </c>
      <c r="O31" s="396">
        <v>137</v>
      </c>
      <c r="U31" s="215"/>
    </row>
    <row r="32" spans="1:21" s="4" customFormat="1" ht="25.5">
      <c r="A32" s="128" t="str">
        <f ca="1">OFFSET(PO!J$12,ROW(A32)-ROW($A$12),0)</f>
        <v>Serviço</v>
      </c>
      <c r="B32" s="130" t="str">
        <f ca="1">IF($A32=0,"",OFFSET(PO!K$12,ROW(B32)-ROW(B$12),0))</f>
        <v>1.4.0.2.</v>
      </c>
      <c r="C32" s="127" t="str">
        <f ca="1">IF(OFFSET(PO!N$12,ROW(C32)-ROW(C$12),0)=0,"",OFFSET(PO!N$12,ROW(C32)-ROW(C$12),0))</f>
        <v>PLACA ESMALTADA PARA IDENTIFICAÇÃO NR DE RUA, DIMENSÕES 45X25CM</v>
      </c>
      <c r="D32" s="129" t="str">
        <f ca="1">IF(OFFSET(PO!O$12,ROW(D32)-ROW(D$12),0)=0,"",OFFSET(PO!O$12,ROW(D32)-ROW(D$12),0))</f>
        <v>UN</v>
      </c>
      <c r="E32" s="165">
        <f>IF($A32&lt;&gt;"Serviço",0,ROUND(SUMIF($F$9:$P$9,"&lt;&gt;",$F32:$P32),15-13*PO!$X$3))</f>
        <v>20</v>
      </c>
      <c r="F32" s="396">
        <v>4</v>
      </c>
      <c r="G32" s="396">
        <v>4</v>
      </c>
      <c r="H32" s="396">
        <f t="shared" si="1"/>
        <v>4</v>
      </c>
      <c r="I32" s="396">
        <v>4</v>
      </c>
      <c r="J32" s="396">
        <f>I32</f>
        <v>4</v>
      </c>
      <c r="K32" s="396">
        <v>416</v>
      </c>
      <c r="L32" s="396">
        <v>441</v>
      </c>
      <c r="M32" s="396">
        <v>437</v>
      </c>
      <c r="N32" s="396">
        <v>258</v>
      </c>
      <c r="O32" s="396">
        <v>137</v>
      </c>
      <c r="U32" s="215"/>
    </row>
    <row r="33" spans="1:21" s="4" customFormat="1" ht="25.5">
      <c r="A33" s="128" t="str">
        <f ca="1">OFFSET(PO!J$12,ROW(A33)-ROW($A$12),0)</f>
        <v>Serviço</v>
      </c>
      <c r="B33" s="130" t="str">
        <f ca="1">IF($A33=0,"",OFFSET(PO!K$12,ROW(B33)-ROW(B$12),0))</f>
        <v>1.4.0.3.</v>
      </c>
      <c r="C33" s="127" t="str">
        <f ca="1">IF(OFFSET(PO!N$12,ROW(C33)-ROW(C$12),0)=0,"",OFFSET(PO!N$12,ROW(C33)-ROW(C$12),0))</f>
        <v>PLACA DE SINALIZACAO EM CHAPA DE ACO NUM 16 COM PINTURA REFLETIVA</v>
      </c>
      <c r="D33" s="129" t="str">
        <f ca="1">IF(OFFSET(PO!O$12,ROW(D33)-ROW(D$12),0)=0,"",OFFSET(PO!O$12,ROW(D33)-ROW(D$12),0))</f>
        <v>M2    </v>
      </c>
      <c r="E33" s="165">
        <f>IF($A33&lt;&gt;"Serviço",0,ROUND(SUMIF($F$9:$P$9,"&lt;&gt;",$F33:$P33),15-13*PO!$X$3))</f>
        <v>5.9</v>
      </c>
      <c r="F33" s="396">
        <v>1.18</v>
      </c>
      <c r="G33" s="396">
        <v>1.18</v>
      </c>
      <c r="H33" s="396">
        <f t="shared" si="1"/>
        <v>1.18</v>
      </c>
      <c r="I33" s="396">
        <v>1.18</v>
      </c>
      <c r="J33" s="396">
        <f>I33</f>
        <v>1.18</v>
      </c>
      <c r="K33" s="396">
        <v>416</v>
      </c>
      <c r="L33" s="396">
        <v>441</v>
      </c>
      <c r="M33" s="396">
        <v>437</v>
      </c>
      <c r="N33" s="396">
        <v>258</v>
      </c>
      <c r="O33" s="396">
        <v>137</v>
      </c>
      <c r="U33" s="215"/>
    </row>
    <row r="34" spans="1:21" s="4" customFormat="1" ht="25.5">
      <c r="A34" s="128" t="str">
        <f ca="1">OFFSET(PO!J$12,ROW(A34)-ROW($A$12),0)</f>
        <v>Serviço</v>
      </c>
      <c r="B34" s="130" t="str">
        <f ca="1">IF($A34=0,"",OFFSET(PO!K$12,ROW(B34)-ROW(B$12),0))</f>
        <v>1.4.0.4.</v>
      </c>
      <c r="C34" s="127" t="str">
        <f ca="1">IF(OFFSET(PO!N$12,ROW(C34)-ROW(C$12),0)=0,"",OFFSET(PO!N$12,ROW(C34)-ROW(C$12),0))</f>
        <v>SUPORTE EM TUBO DE AÇO GALVANIZADO PARA PLACA DE IDENTIFICAÇÃO E SINALIZAÇÃO.</v>
      </c>
      <c r="D34" s="129" t="str">
        <f ca="1">IF(OFFSET(PO!O$12,ROW(D34)-ROW(D$12),0)=0,"",OFFSET(PO!O$12,ROW(D34)-ROW(D$12),0))</f>
        <v>UNIDADE</v>
      </c>
      <c r="E34" s="165">
        <f>IF($A34&lt;&gt;"Serviço",0,ROUND(SUMIF($F$9:$P$9,"&lt;&gt;",$F34:$P34),15-13*PO!$X$3))</f>
        <v>20</v>
      </c>
      <c r="F34" s="396">
        <v>4</v>
      </c>
      <c r="G34" s="396">
        <v>4</v>
      </c>
      <c r="H34" s="396">
        <f t="shared" si="1"/>
        <v>4</v>
      </c>
      <c r="I34" s="396">
        <v>4</v>
      </c>
      <c r="J34" s="396">
        <f>I34</f>
        <v>4</v>
      </c>
      <c r="K34" s="396">
        <v>33</v>
      </c>
      <c r="L34" s="396">
        <v>35</v>
      </c>
      <c r="M34" s="396">
        <v>35</v>
      </c>
      <c r="N34" s="396">
        <v>21</v>
      </c>
      <c r="O34" s="396">
        <v>11</v>
      </c>
      <c r="U34" s="215"/>
    </row>
    <row r="35" spans="1:21" s="4" customFormat="1" ht="51">
      <c r="A35" s="128" t="str">
        <f ca="1">OFFSET(PO!J$12,ROW(A35)-ROW($A$12),0)</f>
        <v>Serviço</v>
      </c>
      <c r="B35" s="130" t="str">
        <f ca="1">IF($A35=0,"",OFFSET(PO!K$12,ROW(B35)-ROW(B$12),0))</f>
        <v>1.4.0.5.</v>
      </c>
      <c r="C35" s="127" t="str">
        <f ca="1">IF(OFFSET(PO!N$12,ROW(C35)-ROW(C$12),0)=0,"",OFFSET(PO!N$12,ROW(C35)-ROW(C$12),0))</f>
        <v>GUIA (MEIO-FIO) E SARJETA CONJUGADOS DE CONCRETO, MOLDADA  IN LOCO  EM TRECHO RETO COM EXTRUSORA, 45 CM BASE (15 CM BASE DA GUIA + 30 CM BASE DA SARJETA) X 22 CM ALTURA. AF_06/2016</v>
      </c>
      <c r="D35" s="129" t="str">
        <f ca="1">IF(OFFSET(PO!O$12,ROW(D35)-ROW(D$12),0)=0,"",OFFSET(PO!O$12,ROW(D35)-ROW(D$12),0))</f>
        <v>M</v>
      </c>
      <c r="E35" s="165">
        <f>IF($A35&lt;&gt;"Serviço",0,ROUND(SUMIF($F$9:$P$9,"&lt;&gt;",$F35:$P35),15-13*PO!$X$3))</f>
        <v>950.97</v>
      </c>
      <c r="F35" s="396">
        <v>189.42</v>
      </c>
      <c r="G35" s="396">
        <v>191.37</v>
      </c>
      <c r="H35" s="396">
        <v>191.37</v>
      </c>
      <c r="I35" s="396">
        <v>191.37</v>
      </c>
      <c r="J35" s="396">
        <v>187.44</v>
      </c>
      <c r="K35" s="396">
        <v>1.6</v>
      </c>
      <c r="L35" s="396">
        <v>1.6</v>
      </c>
      <c r="M35" s="396">
        <v>1.6</v>
      </c>
      <c r="N35" s="396">
        <v>1.4</v>
      </c>
      <c r="O35" s="396">
        <v>1.4</v>
      </c>
      <c r="U35" s="215"/>
    </row>
    <row r="36" spans="1:21" s="4" customFormat="1" ht="38.25">
      <c r="A36" s="128" t="str">
        <f ca="1">OFFSET(PO!J$12,ROW(A36)-ROW($A$12),0)</f>
        <v>Serviço</v>
      </c>
      <c r="B36" s="130" t="str">
        <f ca="1">IF($A36=0,"",OFFSET(PO!K$12,ROW(B36)-ROW(B$12),0))</f>
        <v>1.4.0.6.</v>
      </c>
      <c r="C36" s="127" t="str">
        <f ca="1">IF(OFFSET(PO!N$12,ROW(C36)-ROW(C$12),0)=0,"",OFFSET(PO!N$12,ROW(C36)-ROW(C$12),0))</f>
        <v>EXECUÇÃO DE PASSEIO (CALÇADA) OU PISO DE CONCRETO COM CONCRETO MOLDADO IN LOCO, USINADO, ACABAMENTO CONVENCIONAL, ESPESSURA 6 CM, ARMADO. AF_07/2016</v>
      </c>
      <c r="D36" s="129" t="str">
        <f ca="1">IF(OFFSET(PO!O$12,ROW(D36)-ROW(D$12),0)=0,"",OFFSET(PO!O$12,ROW(D36)-ROW(D$12),0))</f>
        <v>M2</v>
      </c>
      <c r="E36" s="165">
        <f>IF($A36&lt;&gt;"Serviço",0,ROUND(SUMIF($F$9:$P$9,"&lt;&gt;",$F36:$P36),15-13*PO!$X$3))</f>
        <v>1385.35</v>
      </c>
      <c r="F36" s="396">
        <v>277.07</v>
      </c>
      <c r="G36" s="396">
        <v>277.07</v>
      </c>
      <c r="H36" s="396">
        <v>277.07</v>
      </c>
      <c r="I36" s="396">
        <v>277.07</v>
      </c>
      <c r="J36" s="396">
        <v>277.07</v>
      </c>
      <c r="K36" s="396">
        <v>1.6</v>
      </c>
      <c r="L36" s="396">
        <v>1.6</v>
      </c>
      <c r="M36" s="396">
        <v>1.6</v>
      </c>
      <c r="N36" s="396">
        <v>1.4</v>
      </c>
      <c r="O36" s="396">
        <v>1.4</v>
      </c>
      <c r="U36" s="215"/>
    </row>
    <row r="37" spans="1:21" s="4" customFormat="1" ht="25.5">
      <c r="A37" s="128" t="str">
        <f ca="1">OFFSET(PO!J$12,ROW(A37)-ROW($A$12),0)</f>
        <v>Serviço</v>
      </c>
      <c r="B37" s="130" t="str">
        <f ca="1">IF($A37=0,"",OFFSET(PO!K$12,ROW(B37)-ROW(B$12),0))</f>
        <v>1.4.0.7.</v>
      </c>
      <c r="C37" s="127" t="str">
        <f ca="1">IF(OFFSET(PO!N$12,ROW(C37)-ROW(C$12),0)=0,"",OFFSET(PO!N$12,ROW(C37)-ROW(C$12),0))</f>
        <v>PISO PODOTÁTIL DIRECIONAL OU ALERTA EM PLCA CIMENTICIA DE ALTA RESISTENCIA.</v>
      </c>
      <c r="D37" s="129" t="str">
        <f ca="1">IF(OFFSET(PO!O$12,ROW(D37)-ROW(D$12),0)=0,"",OFFSET(PO!O$12,ROW(D37)-ROW(D$12),0))</f>
        <v>M</v>
      </c>
      <c r="E37" s="165">
        <f>IF($A37&lt;&gt;"Serviço",0,ROUND(SUMIF($F$9:$P$9,"&lt;&gt;",$F37:$P37),15-13*PO!$X$3))</f>
        <v>78.8</v>
      </c>
      <c r="F37" s="396">
        <v>15</v>
      </c>
      <c r="G37" s="396">
        <v>15</v>
      </c>
      <c r="H37" s="396">
        <f t="shared" si="1"/>
        <v>15</v>
      </c>
      <c r="I37" s="396">
        <v>15</v>
      </c>
      <c r="J37" s="396">
        <v>18.8</v>
      </c>
      <c r="K37" s="396">
        <v>3.2</v>
      </c>
      <c r="L37" s="396">
        <v>3.2</v>
      </c>
      <c r="M37" s="396">
        <v>3.2</v>
      </c>
      <c r="N37" s="396">
        <v>2.9</v>
      </c>
      <c r="O37" s="396">
        <v>2.9</v>
      </c>
      <c r="U37" s="215"/>
    </row>
    <row r="38" spans="1:21" s="4" customFormat="1" ht="12.75">
      <c r="A38" s="128" t="str">
        <f ca="1">OFFSET(PO!J$12,ROW(A38)-ROW($A$12),0)</f>
        <v>Nível 2</v>
      </c>
      <c r="B38" s="130" t="str">
        <f ca="1">IF($A38=0,"",OFFSET(PO!K$12,ROW(B38)-ROW(B$12),0))</f>
        <v>1.5.</v>
      </c>
      <c r="C38" s="127" t="str">
        <f ca="1">IF(OFFSET(PO!N$12,ROW(C38)-ROW(C$12),0)=0,"",OFFSET(PO!N$12,ROW(C38)-ROW(C$12),0))</f>
        <v>RAMPAS </v>
      </c>
      <c r="D38" s="129">
        <f ca="1">IF(OFFSET(PO!O$12,ROW(D38)-ROW(D$12),0)=0,"",OFFSET(PO!O$12,ROW(D38)-ROW(D$12),0))</f>
      </c>
      <c r="E38" s="165">
        <f>IF($A38&lt;&gt;"Serviço",0,ROUND(SUMIF($F$9:$P$9,"&lt;&gt;",$F38:$P38),15-13*PO!$X$3))</f>
        <v>0</v>
      </c>
      <c r="F38" s="165">
        <f>IF($A38&lt;&gt;"Serviço",0,ROUND(SUMIF($F$9:$O$9,"&lt;&gt;",$F38:$O38),15-13*'[1]PO'!$X$3))</f>
        <v>0</v>
      </c>
      <c r="G38" s="396"/>
      <c r="H38" s="396"/>
      <c r="I38" s="396"/>
      <c r="J38" s="396"/>
      <c r="K38" s="396"/>
      <c r="L38" s="396"/>
      <c r="M38" s="396"/>
      <c r="N38" s="396"/>
      <c r="O38" s="396"/>
      <c r="U38" s="215"/>
    </row>
    <row r="39" spans="1:21" s="4" customFormat="1" ht="38.25">
      <c r="A39" s="128" t="str">
        <f ca="1">OFFSET(PO!J$12,ROW(A39)-ROW($A$12),0)</f>
        <v>Serviço</v>
      </c>
      <c r="B39" s="130" t="str">
        <f ca="1">IF($A39=0,"",OFFSET(PO!K$12,ROW(B39)-ROW(B$12),0))</f>
        <v>1.5.0.1.</v>
      </c>
      <c r="C39" s="127" t="str">
        <f ca="1">IF(OFFSET(PO!N$12,ROW(C39)-ROW(C$12),0)=0,"",OFFSET(PO!N$12,ROW(C39)-ROW(C$12),0))</f>
        <v>CONCRETO USINADO CONVENCIONAL (NAO BOMBEAVEL) CLASSE DE RESISTENCIA C15, COM BRITA 1 E 2, SLUMP = 80 MM +/- 10 MM (NBR 8953)</v>
      </c>
      <c r="D39" s="129" t="str">
        <f ca="1">IF(OFFSET(PO!O$12,ROW(D39)-ROW(D$12),0)=0,"",OFFSET(PO!O$12,ROW(D39)-ROW(D$12),0))</f>
        <v>M3    </v>
      </c>
      <c r="E39" s="165">
        <f>IF($A39&lt;&gt;"Serviço",0,ROUND(SUMIF($F$9:$P$9,"&lt;&gt;",$F39:$P39),15-13*PO!$X$3))</f>
        <v>7.21</v>
      </c>
      <c r="F39" s="396">
        <v>1.37</v>
      </c>
      <c r="G39" s="396">
        <f>F39</f>
        <v>1.37</v>
      </c>
      <c r="H39" s="396">
        <f>F39</f>
        <v>1.37</v>
      </c>
      <c r="I39" s="396">
        <v>1.37</v>
      </c>
      <c r="J39" s="396">
        <v>1.73</v>
      </c>
      <c r="K39" s="396"/>
      <c r="L39" s="396">
        <v>0.75</v>
      </c>
      <c r="M39" s="396"/>
      <c r="N39" s="396">
        <v>0.5</v>
      </c>
      <c r="O39" s="396">
        <v>0.25</v>
      </c>
      <c r="U39" s="215"/>
    </row>
    <row r="40" spans="1:21" s="4" customFormat="1" ht="25.5">
      <c r="A40" s="128" t="str">
        <f ca="1">OFFSET(PO!J$12,ROW(A40)-ROW($A$12),0)</f>
        <v>Serviço</v>
      </c>
      <c r="B40" s="130" t="str">
        <f ca="1">IF($A40=0,"",OFFSET(PO!K$12,ROW(B40)-ROW(B$12),0))</f>
        <v>1.5.0.2.</v>
      </c>
      <c r="C40" s="127" t="str">
        <f ca="1">IF(OFFSET(PO!N$12,ROW(C40)-ROW(C$12),0)=0,"",OFFSET(PO!N$12,ROW(C40)-ROW(C$12),0))</f>
        <v>LANÇAMENTO COM USO DE BALDES, ADENSAMENTO E ACABAMENTO DE CONCRETO EM ESTRUTURAS. AF_12/2015</v>
      </c>
      <c r="D40" s="129" t="str">
        <f ca="1">IF(OFFSET(PO!O$12,ROW(D40)-ROW(D$12),0)=0,"",OFFSET(PO!O$12,ROW(D40)-ROW(D$12),0))</f>
        <v>M3</v>
      </c>
      <c r="E40" s="165">
        <f>IF($A40&lt;&gt;"Serviço",0,ROUND(SUMIF($F$9:$P$9,"&lt;&gt;",$F40:$P40),15-13*PO!$X$3))</f>
        <v>7.21</v>
      </c>
      <c r="F40" s="396">
        <f>F39</f>
        <v>1.37</v>
      </c>
      <c r="G40" s="396">
        <f>F40</f>
        <v>1.37</v>
      </c>
      <c r="H40" s="396">
        <f>F40</f>
        <v>1.37</v>
      </c>
      <c r="I40" s="396">
        <v>1.37</v>
      </c>
      <c r="J40" s="396">
        <v>1.73</v>
      </c>
      <c r="K40" s="396"/>
      <c r="L40" s="396">
        <v>2</v>
      </c>
      <c r="M40" s="396"/>
      <c r="N40" s="396">
        <v>2</v>
      </c>
      <c r="O40" s="396">
        <v>1</v>
      </c>
      <c r="U40" s="215"/>
    </row>
    <row r="41" spans="1:21" s="4" customFormat="1" ht="51">
      <c r="A41" s="128" t="str">
        <f ca="1">OFFSET(PO!J$12,ROW(A41)-ROW($A$12),0)</f>
        <v>Serviço</v>
      </c>
      <c r="B41" s="130" t="str">
        <f ca="1">IF($A41=0,"",OFFSET(PO!K$12,ROW(B41)-ROW(B$12),0))</f>
        <v>1.5.0.3.</v>
      </c>
      <c r="C41" s="127" t="str">
        <f ca="1">IF(OFFSET(PO!N$12,ROW(C41)-ROW(C$12),0)=0,"",OFFSET(PO!N$12,ROW(C41)-ROW(C$12),0))</f>
        <v>MONTAGEM E DESMONTAGEM DE FÔRMA DE PILARES RETANGULARES E ESTRUTURAS SIMILARES COM ÁREA MÉDIA DAS SEÇÕES MENOR OU IGUAL A 0,25 M², PÉ-DIREITO SIMPLES, EM MADEIRA SERRADA, 2 UTILIZAÇÕES. AF_12/2015</v>
      </c>
      <c r="D41" s="129" t="str">
        <f ca="1">IF(OFFSET(PO!O$12,ROW(D41)-ROW(D$12),0)=0,"",OFFSET(PO!O$12,ROW(D41)-ROW(D$12),0))</f>
        <v>M2</v>
      </c>
      <c r="E41" s="165">
        <f>IF($A41&lt;&gt;"Serviço",0,ROUND(SUMIF($F$9:$P$9,"&lt;&gt;",$F41:$P41),15-13*PO!$X$3))</f>
        <v>19.37</v>
      </c>
      <c r="F41" s="396">
        <v>3.82</v>
      </c>
      <c r="G41" s="396">
        <v>3.82</v>
      </c>
      <c r="H41" s="396">
        <f>F41</f>
        <v>3.82</v>
      </c>
      <c r="I41" s="396">
        <v>3.82</v>
      </c>
      <c r="J41" s="396">
        <v>4.09</v>
      </c>
      <c r="K41" s="396">
        <v>42.7</v>
      </c>
      <c r="L41" s="396">
        <v>40.7</v>
      </c>
      <c r="M41" s="396">
        <v>48.6</v>
      </c>
      <c r="N41" s="396">
        <v>31.02</v>
      </c>
      <c r="O41" s="396">
        <v>19.27</v>
      </c>
      <c r="U41" s="215"/>
    </row>
    <row r="42" spans="1:21" s="4" customFormat="1" ht="12.75">
      <c r="A42" s="83"/>
      <c r="B42" s="83"/>
      <c r="C42" s="83"/>
      <c r="D42" s="83"/>
      <c r="E42" s="83"/>
      <c r="F42" s="83"/>
      <c r="G42" s="83"/>
      <c r="H42" s="83"/>
      <c r="I42" s="83"/>
      <c r="J42" s="83"/>
      <c r="K42" s="83"/>
      <c r="L42" s="83"/>
      <c r="M42" s="83"/>
      <c r="N42" s="83"/>
      <c r="O42" s="83"/>
      <c r="U42" s="83"/>
    </row>
    <row r="43" spans="2:21" s="4" customFormat="1" ht="12.75">
      <c r="B43" s="9"/>
      <c r="C43" s="14"/>
      <c r="D43" s="9"/>
      <c r="E43" s="16"/>
      <c r="F43" s="16"/>
      <c r="G43" s="16"/>
      <c r="H43" s="16"/>
      <c r="I43" s="16"/>
      <c r="J43" s="16"/>
      <c r="K43" s="16"/>
      <c r="L43" s="16"/>
      <c r="M43" s="16"/>
      <c r="N43" s="16"/>
      <c r="O43" s="16"/>
      <c r="U43" s="16"/>
    </row>
    <row r="44" spans="2:21" s="4" customFormat="1" ht="12.75">
      <c r="B44" s="369" t="str">
        <f>PO!$K$53</f>
        <v>NAVIRAÍ - MS</v>
      </c>
      <c r="C44" s="369"/>
      <c r="D44" s="9"/>
      <c r="E44" s="16"/>
      <c r="F44" s="16"/>
      <c r="G44" s="16"/>
      <c r="H44" s="16"/>
      <c r="I44" s="16"/>
      <c r="J44" s="16"/>
      <c r="K44" s="16"/>
      <c r="L44" s="16"/>
      <c r="M44" s="16"/>
      <c r="N44" s="16"/>
      <c r="O44" s="16"/>
      <c r="U44" s="16"/>
    </row>
    <row r="45" spans="2:21" s="4" customFormat="1" ht="12.75">
      <c r="B45" s="113" t="s">
        <v>121</v>
      </c>
      <c r="C45" s="14"/>
      <c r="D45" s="9"/>
      <c r="E45" s="16"/>
      <c r="F45" s="16"/>
      <c r="G45" s="16"/>
      <c r="H45" s="16"/>
      <c r="I45" s="16"/>
      <c r="J45" s="16"/>
      <c r="K45" s="16"/>
      <c r="L45" s="16"/>
      <c r="M45" s="16"/>
      <c r="N45" s="16"/>
      <c r="O45" s="16"/>
      <c r="U45" s="16"/>
    </row>
    <row r="46" spans="2:21" s="4" customFormat="1" ht="12.75">
      <c r="B46" s="14"/>
      <c r="C46" s="14"/>
      <c r="D46" s="9"/>
      <c r="E46" s="16"/>
      <c r="F46" s="16"/>
      <c r="G46" s="16"/>
      <c r="H46" s="16"/>
      <c r="I46" s="16"/>
      <c r="J46" s="16"/>
      <c r="K46" s="16"/>
      <c r="L46" s="16"/>
      <c r="M46" s="16"/>
      <c r="N46" s="16"/>
      <c r="O46" s="16"/>
      <c r="U46" s="16"/>
    </row>
    <row r="47" spans="2:21" s="4" customFormat="1" ht="12.75">
      <c r="B47" s="370">
        <f>PO!$K$56</f>
        <v>43966</v>
      </c>
      <c r="C47" s="370"/>
      <c r="D47" s="9"/>
      <c r="E47" s="16"/>
      <c r="F47" s="16"/>
      <c r="G47" s="16"/>
      <c r="H47" s="16"/>
      <c r="I47" s="16"/>
      <c r="J47" s="16"/>
      <c r="K47" s="16"/>
      <c r="L47" s="16"/>
      <c r="M47" s="16"/>
      <c r="N47" s="16"/>
      <c r="O47" s="16"/>
      <c r="U47" s="16"/>
    </row>
    <row r="48" spans="2:21" s="4" customFormat="1" ht="12.75">
      <c r="B48" s="142" t="s">
        <v>122</v>
      </c>
      <c r="C48" s="143"/>
      <c r="D48" s="9"/>
      <c r="E48" s="16"/>
      <c r="F48" s="16"/>
      <c r="G48" s="16"/>
      <c r="H48" s="16"/>
      <c r="I48" s="16"/>
      <c r="J48" s="16"/>
      <c r="K48" s="16"/>
      <c r="L48" s="16"/>
      <c r="M48" s="16"/>
      <c r="N48" s="16"/>
      <c r="O48" s="16"/>
      <c r="U48" s="16"/>
    </row>
  </sheetData>
  <sheetProtection password="C95B" sheet="1" objects="1" scenarios="1"/>
  <mergeCells count="2">
    <mergeCell ref="B44:C44"/>
    <mergeCell ref="B47:C47"/>
  </mergeCells>
  <conditionalFormatting sqref="D11:E11 D13:E14 D23:E25 D20:E20 D27:E31 D35:E37">
    <cfRule type="expression" priority="3047" dxfId="50" stopIfTrue="1">
      <formula>$A11="Meta"</formula>
    </cfRule>
    <cfRule type="expression" priority="3048" dxfId="69" stopIfTrue="1">
      <formula>$A11&lt;&gt;"Serviço"</formula>
    </cfRule>
  </conditionalFormatting>
  <conditionalFormatting sqref="C11 C13:C14 C23:C25 C20 C27:C31 C35:C37">
    <cfRule type="expression" priority="3049" dxfId="79" stopIfTrue="1">
      <formula>$A11="Meta"</formula>
    </cfRule>
    <cfRule type="expression" priority="3050" dxfId="78" stopIfTrue="1">
      <formula>$A11&lt;&gt;"Serviço"</formula>
    </cfRule>
  </conditionalFormatting>
  <conditionalFormatting sqref="A11:B11 A13:B14 A23:B25 A20:B20 A27:B31 A35:B37">
    <cfRule type="expression" priority="3051" dxfId="79" stopIfTrue="1">
      <formula>$A11="Meta"</formula>
    </cfRule>
    <cfRule type="expression" priority="3052" dxfId="78" stopIfTrue="1">
      <formula>LEFT($A11,5)="Nível"</formula>
    </cfRule>
    <cfRule type="expression" priority="3053" dxfId="49" stopIfTrue="1">
      <formula>$A11=0</formula>
    </cfRule>
  </conditionalFormatting>
  <conditionalFormatting sqref="F13:O14 F17:O18 U11 U13:U41 K19:O41">
    <cfRule type="expression" priority="3063" dxfId="50" stopIfTrue="1">
      <formula>$A11="Meta"</formula>
    </cfRule>
    <cfRule type="expression" priority="3064" dxfId="49" stopIfTrue="1">
      <formula>OR(F$9=0,$A11&lt;&gt;"Serviço")</formula>
    </cfRule>
    <cfRule type="expression" priority="3065" dxfId="2" stopIfTrue="1">
      <formula>TipoOrçamento="Licitado"</formula>
    </cfRule>
  </conditionalFormatting>
  <conditionalFormatting sqref="U9 K9:O9">
    <cfRule type="expression" priority="2485" dxfId="49" stopIfTrue="1">
      <formula>AND(J9=0,K9=0)</formula>
    </cfRule>
    <cfRule type="expression" priority="2486" dxfId="2" stopIfTrue="1">
      <formula>TipoOrçamento="Licitado"</formula>
    </cfRule>
  </conditionalFormatting>
  <conditionalFormatting sqref="F11:O11">
    <cfRule type="expression" priority="2445" dxfId="50" stopIfTrue="1">
      <formula>$A11="Meta"</formula>
    </cfRule>
    <cfRule type="expression" priority="2446" dxfId="49" stopIfTrue="1">
      <formula>OR(F$9=0,$A11&lt;&gt;"Serviço")</formula>
    </cfRule>
    <cfRule type="expression" priority="2447" dxfId="2" stopIfTrue="1">
      <formula>TipoOrçamento="Licitado"</formula>
    </cfRule>
  </conditionalFormatting>
  <conditionalFormatting sqref="D22:E22">
    <cfRule type="expression" priority="474" dxfId="50" stopIfTrue="1">
      <formula>$A22="Meta"</formula>
    </cfRule>
    <cfRule type="expression" priority="475" dxfId="69" stopIfTrue="1">
      <formula>$A22&lt;&gt;"Serviço"</formula>
    </cfRule>
  </conditionalFormatting>
  <conditionalFormatting sqref="C22">
    <cfRule type="expression" priority="476" dxfId="79" stopIfTrue="1">
      <formula>$A22="Meta"</formula>
    </cfRule>
    <cfRule type="expression" priority="477" dxfId="78" stopIfTrue="1">
      <formula>$A22&lt;&gt;"Serviço"</formula>
    </cfRule>
  </conditionalFormatting>
  <conditionalFormatting sqref="A22:B22">
    <cfRule type="expression" priority="478" dxfId="79" stopIfTrue="1">
      <formula>$A22="Meta"</formula>
    </cfRule>
    <cfRule type="expression" priority="479" dxfId="78" stopIfTrue="1">
      <formula>LEFT($A22,5)="Nível"</formula>
    </cfRule>
    <cfRule type="expression" priority="480" dxfId="49" stopIfTrue="1">
      <formula>$A22=0</formula>
    </cfRule>
  </conditionalFormatting>
  <conditionalFormatting sqref="D33:E34">
    <cfRule type="expression" priority="409" dxfId="50" stopIfTrue="1">
      <formula>$A33="Meta"</formula>
    </cfRule>
    <cfRule type="expression" priority="410" dxfId="69" stopIfTrue="1">
      <formula>$A33&lt;&gt;"Serviço"</formula>
    </cfRule>
  </conditionalFormatting>
  <conditionalFormatting sqref="C33:C34">
    <cfRule type="expression" priority="411" dxfId="79" stopIfTrue="1">
      <formula>$A33="Meta"</formula>
    </cfRule>
    <cfRule type="expression" priority="412" dxfId="78" stopIfTrue="1">
      <formula>$A33&lt;&gt;"Serviço"</formula>
    </cfRule>
  </conditionalFormatting>
  <conditionalFormatting sqref="A33:B34">
    <cfRule type="expression" priority="413" dxfId="79" stopIfTrue="1">
      <formula>$A33="Meta"</formula>
    </cfRule>
    <cfRule type="expression" priority="414" dxfId="78" stopIfTrue="1">
      <formula>LEFT($A33,5)="Nível"</formula>
    </cfRule>
    <cfRule type="expression" priority="415" dxfId="49" stopIfTrue="1">
      <formula>$A33=0</formula>
    </cfRule>
  </conditionalFormatting>
  <conditionalFormatting sqref="D32:E32">
    <cfRule type="expression" priority="370" dxfId="50" stopIfTrue="1">
      <formula>$A32="Meta"</formula>
    </cfRule>
    <cfRule type="expression" priority="371" dxfId="69" stopIfTrue="1">
      <formula>$A32&lt;&gt;"Serviço"</formula>
    </cfRule>
  </conditionalFormatting>
  <conditionalFormatting sqref="C32">
    <cfRule type="expression" priority="372" dxfId="79" stopIfTrue="1">
      <formula>$A32="Meta"</formula>
    </cfRule>
    <cfRule type="expression" priority="373" dxfId="78" stopIfTrue="1">
      <formula>$A32&lt;&gt;"Serviço"</formula>
    </cfRule>
  </conditionalFormatting>
  <conditionalFormatting sqref="A32:B32">
    <cfRule type="expression" priority="374" dxfId="79" stopIfTrue="1">
      <formula>$A32="Meta"</formula>
    </cfRule>
    <cfRule type="expression" priority="375" dxfId="78" stopIfTrue="1">
      <formula>LEFT($A32,5)="Nível"</formula>
    </cfRule>
    <cfRule type="expression" priority="376" dxfId="49" stopIfTrue="1">
      <formula>$A32=0</formula>
    </cfRule>
  </conditionalFormatting>
  <conditionalFormatting sqref="D15:E16">
    <cfRule type="expression" priority="320" dxfId="50" stopIfTrue="1">
      <formula>$A15="Meta"</formula>
    </cfRule>
    <cfRule type="expression" priority="321" dxfId="69" stopIfTrue="1">
      <formula>$A15&lt;&gt;"Serviço"</formula>
    </cfRule>
  </conditionalFormatting>
  <conditionalFormatting sqref="C15:C16">
    <cfRule type="expression" priority="322" dxfId="79" stopIfTrue="1">
      <formula>$A15="Meta"</formula>
    </cfRule>
    <cfRule type="expression" priority="323" dxfId="78" stopIfTrue="1">
      <formula>$A15&lt;&gt;"Serviço"</formula>
    </cfRule>
  </conditionalFormatting>
  <conditionalFormatting sqref="A15:B16">
    <cfRule type="expression" priority="324" dxfId="79" stopIfTrue="1">
      <formula>$A15="Meta"</formula>
    </cfRule>
    <cfRule type="expression" priority="325" dxfId="78" stopIfTrue="1">
      <formula>LEFT($A15,5)="Nível"</formula>
    </cfRule>
    <cfRule type="expression" priority="326" dxfId="49" stopIfTrue="1">
      <formula>$A15=0</formula>
    </cfRule>
  </conditionalFormatting>
  <conditionalFormatting sqref="G15:O16">
    <cfRule type="expression" priority="317" dxfId="50" stopIfTrue="1">
      <formula>$A15="Meta"</formula>
    </cfRule>
    <cfRule type="expression" priority="318" dxfId="49" stopIfTrue="1">
      <formula>OR(G$9=0,$A15&lt;&gt;"Serviço")</formula>
    </cfRule>
    <cfRule type="expression" priority="319" dxfId="2" stopIfTrue="1">
      <formula>TipoOrçamento="Licitado"</formula>
    </cfRule>
  </conditionalFormatting>
  <conditionalFormatting sqref="D26:E26">
    <cfRule type="expression" priority="268" dxfId="50" stopIfTrue="1">
      <formula>$A26="Meta"</formula>
    </cfRule>
    <cfRule type="expression" priority="269" dxfId="69" stopIfTrue="1">
      <formula>$A26&lt;&gt;"Serviço"</formula>
    </cfRule>
  </conditionalFormatting>
  <conditionalFormatting sqref="C26">
    <cfRule type="expression" priority="270" dxfId="79" stopIfTrue="1">
      <formula>$A26="Meta"</formula>
    </cfRule>
    <cfRule type="expression" priority="271" dxfId="78" stopIfTrue="1">
      <formula>$A26&lt;&gt;"Serviço"</formula>
    </cfRule>
  </conditionalFormatting>
  <conditionalFormatting sqref="A26:B26">
    <cfRule type="expression" priority="272" dxfId="79" stopIfTrue="1">
      <formula>$A26="Meta"</formula>
    </cfRule>
    <cfRule type="expression" priority="273" dxfId="78" stopIfTrue="1">
      <formula>LEFT($A26,5)="Nível"</formula>
    </cfRule>
    <cfRule type="expression" priority="274" dxfId="49" stopIfTrue="1">
      <formula>$A26=0</formula>
    </cfRule>
  </conditionalFormatting>
  <conditionalFormatting sqref="D38:E41">
    <cfRule type="expression" priority="229" dxfId="50" stopIfTrue="1">
      <formula>$A38="Meta"</formula>
    </cfRule>
    <cfRule type="expression" priority="230" dxfId="69" stopIfTrue="1">
      <formula>$A38&lt;&gt;"Serviço"</formula>
    </cfRule>
  </conditionalFormatting>
  <conditionalFormatting sqref="C38:C41">
    <cfRule type="expression" priority="231" dxfId="79" stopIfTrue="1">
      <formula>$A38="Meta"</formula>
    </cfRule>
    <cfRule type="expression" priority="232" dxfId="78" stopIfTrue="1">
      <formula>$A38&lt;&gt;"Serviço"</formula>
    </cfRule>
  </conditionalFormatting>
  <conditionalFormatting sqref="A38:B41">
    <cfRule type="expression" priority="233" dxfId="79" stopIfTrue="1">
      <formula>$A38="Meta"</formula>
    </cfRule>
    <cfRule type="expression" priority="234" dxfId="78" stopIfTrue="1">
      <formula>LEFT($A38,5)="Nível"</formula>
    </cfRule>
    <cfRule type="expression" priority="235" dxfId="49" stopIfTrue="1">
      <formula>$A38=0</formula>
    </cfRule>
  </conditionalFormatting>
  <conditionalFormatting sqref="D17:E17 D19:E19">
    <cfRule type="expression" priority="203" dxfId="50" stopIfTrue="1">
      <formula>$A17="Meta"</formula>
    </cfRule>
    <cfRule type="expression" priority="204" dxfId="69" stopIfTrue="1">
      <formula>$A17&lt;&gt;"Serviço"</formula>
    </cfRule>
  </conditionalFormatting>
  <conditionalFormatting sqref="C17 C19">
    <cfRule type="expression" priority="205" dxfId="79" stopIfTrue="1">
      <formula>$A17="Meta"</formula>
    </cfRule>
    <cfRule type="expression" priority="206" dxfId="78" stopIfTrue="1">
      <formula>$A17&lt;&gt;"Serviço"</formula>
    </cfRule>
  </conditionalFormatting>
  <conditionalFormatting sqref="A17:B17 A19:B19">
    <cfRule type="expression" priority="207" dxfId="79" stopIfTrue="1">
      <formula>$A17="Meta"</formula>
    </cfRule>
    <cfRule type="expression" priority="208" dxfId="78" stopIfTrue="1">
      <formula>LEFT($A17,5)="Nível"</formula>
    </cfRule>
    <cfRule type="expression" priority="209" dxfId="49" stopIfTrue="1">
      <formula>$A17=0</formula>
    </cfRule>
  </conditionalFormatting>
  <conditionalFormatting sqref="D18:E18">
    <cfRule type="expression" priority="190" dxfId="50" stopIfTrue="1">
      <formula>$A18="Meta"</formula>
    </cfRule>
    <cfRule type="expression" priority="191" dxfId="69" stopIfTrue="1">
      <formula>$A18&lt;&gt;"Serviço"</formula>
    </cfRule>
  </conditionalFormatting>
  <conditionalFormatting sqref="C18">
    <cfRule type="expression" priority="192" dxfId="79" stopIfTrue="1">
      <formula>$A18="Meta"</formula>
    </cfRule>
    <cfRule type="expression" priority="193" dxfId="78" stopIfTrue="1">
      <formula>$A18&lt;&gt;"Serviço"</formula>
    </cfRule>
  </conditionalFormatting>
  <conditionalFormatting sqref="A18:B18">
    <cfRule type="expression" priority="194" dxfId="79" stopIfTrue="1">
      <formula>$A18="Meta"</formula>
    </cfRule>
    <cfRule type="expression" priority="195" dxfId="78" stopIfTrue="1">
      <formula>LEFT($A18,5)="Nível"</formula>
    </cfRule>
    <cfRule type="expression" priority="196" dxfId="49" stopIfTrue="1">
      <formula>$A18=0</formula>
    </cfRule>
  </conditionalFormatting>
  <conditionalFormatting sqref="D21:E21">
    <cfRule type="expression" priority="77" dxfId="50" stopIfTrue="1">
      <formula>$A21="Meta"</formula>
    </cfRule>
    <cfRule type="expression" priority="78" dxfId="69" stopIfTrue="1">
      <formula>$A21&lt;&gt;"Serviço"</formula>
    </cfRule>
  </conditionalFormatting>
  <conditionalFormatting sqref="C21">
    <cfRule type="expression" priority="79" dxfId="79" stopIfTrue="1">
      <formula>$A21="Meta"</formula>
    </cfRule>
    <cfRule type="expression" priority="80" dxfId="78" stopIfTrue="1">
      <formula>$A21&lt;&gt;"Serviço"</formula>
    </cfRule>
  </conditionalFormatting>
  <conditionalFormatting sqref="A21:B21">
    <cfRule type="expression" priority="81" dxfId="79" stopIfTrue="1">
      <formula>$A21="Meta"</formula>
    </cfRule>
    <cfRule type="expression" priority="82" dxfId="78" stopIfTrue="1">
      <formula>LEFT($A21,5)="Nível"</formula>
    </cfRule>
    <cfRule type="expression" priority="83" dxfId="49" stopIfTrue="1">
      <formula>$A21=0</formula>
    </cfRule>
  </conditionalFormatting>
  <conditionalFormatting sqref="J9">
    <cfRule type="expression" priority="26" dxfId="49" stopIfTrue="1">
      <formula>AND(I9=0,J9=0)</formula>
    </cfRule>
    <cfRule type="expression" priority="27" dxfId="2" stopIfTrue="1">
      <formula>TipoOrçamento="Licitado"</formula>
    </cfRule>
  </conditionalFormatting>
  <conditionalFormatting sqref="F9:I9">
    <cfRule type="expression" priority="28" dxfId="49" stopIfTrue="1">
      <formula>AND(PLQ!#REF!=0,F9=0)</formula>
    </cfRule>
    <cfRule type="expression" priority="29" dxfId="2" stopIfTrue="1">
      <formula>TipoOrçamento="Licitado"</formula>
    </cfRule>
  </conditionalFormatting>
  <conditionalFormatting sqref="F22">
    <cfRule type="expression" priority="18" dxfId="50" stopIfTrue="1">
      <formula>$A22="Meta"</formula>
    </cfRule>
    <cfRule type="expression" priority="19" dxfId="69" stopIfTrue="1">
      <formula>$A22&lt;&gt;"Serviço"</formula>
    </cfRule>
  </conditionalFormatting>
  <conditionalFormatting sqref="F30 F38">
    <cfRule type="expression" priority="16" dxfId="50" stopIfTrue="1">
      <formula>$A30="Meta"</formula>
    </cfRule>
    <cfRule type="expression" priority="17" dxfId="69" stopIfTrue="1">
      <formula>$A30&lt;&gt;"Serviço"</formula>
    </cfRule>
  </conditionalFormatting>
  <conditionalFormatting sqref="G19:J35 G37:J41">
    <cfRule type="expression" priority="20" dxfId="50" stopIfTrue="1">
      <formula>$A19="Meta"</formula>
    </cfRule>
    <cfRule type="expression" priority="21" dxfId="49" stopIfTrue="1">
      <formula>OR(F$9=0,$A19&lt;&gt;"Serviço")</formula>
    </cfRule>
    <cfRule type="expression" priority="22" dxfId="2" stopIfTrue="1">
      <formula>TipoOrçamento="Licitado"</formula>
    </cfRule>
  </conditionalFormatting>
  <conditionalFormatting sqref="F19:F21 F23:F29 F31:F37 F39:F41">
    <cfRule type="expression" priority="23" dxfId="50" stopIfTrue="1">
      <formula>$A19="Meta"</formula>
    </cfRule>
    <cfRule type="expression" priority="24" dxfId="49" stopIfTrue="1">
      <formula>OR(PLQ!#REF!=0,$A19&lt;&gt;"Serviço")</formula>
    </cfRule>
    <cfRule type="expression" priority="25" dxfId="2" stopIfTrue="1">
      <formula>TipoOrçamento="Licitado"</formula>
    </cfRule>
  </conditionalFormatting>
  <conditionalFormatting sqref="G36">
    <cfRule type="expression" priority="13" dxfId="50" stopIfTrue="1">
      <formula>$A36="Meta"</formula>
    </cfRule>
    <cfRule type="expression" priority="14" dxfId="49" stopIfTrue="1">
      <formula>OR(PLQ!#REF!=0,$A36&lt;&gt;"Serviço")</formula>
    </cfRule>
    <cfRule type="expression" priority="15" dxfId="2" stopIfTrue="1">
      <formula>TipoOrçamento="Licitado"</formula>
    </cfRule>
  </conditionalFormatting>
  <conditionalFormatting sqref="H36">
    <cfRule type="expression" priority="10" dxfId="50" stopIfTrue="1">
      <formula>$A36="Meta"</formula>
    </cfRule>
    <cfRule type="expression" priority="11" dxfId="49" stopIfTrue="1">
      <formula>OR(PLQ!#REF!=0,$A36&lt;&gt;"Serviço")</formula>
    </cfRule>
    <cfRule type="expression" priority="12" dxfId="2" stopIfTrue="1">
      <formula>TipoOrçamento="Licitado"</formula>
    </cfRule>
  </conditionalFormatting>
  <conditionalFormatting sqref="I36">
    <cfRule type="expression" priority="7" dxfId="50" stopIfTrue="1">
      <formula>$A36="Meta"</formula>
    </cfRule>
    <cfRule type="expression" priority="8" dxfId="49" stopIfTrue="1">
      <formula>OR(PLQ!#REF!=0,$A36&lt;&gt;"Serviço")</formula>
    </cfRule>
    <cfRule type="expression" priority="9" dxfId="2" stopIfTrue="1">
      <formula>TipoOrçamento="Licitado"</formula>
    </cfRule>
  </conditionalFormatting>
  <conditionalFormatting sqref="J36">
    <cfRule type="expression" priority="4" dxfId="50" stopIfTrue="1">
      <formula>$A36="Meta"</formula>
    </cfRule>
    <cfRule type="expression" priority="5" dxfId="49" stopIfTrue="1">
      <formula>OR(PLQ!#REF!=0,$A36&lt;&gt;"Serviço")</formula>
    </cfRule>
    <cfRule type="expression" priority="6" dxfId="2" stopIfTrue="1">
      <formula>TipoOrçamento="Licitado"</formula>
    </cfRule>
  </conditionalFormatting>
  <conditionalFormatting sqref="F15:F16">
    <cfRule type="expression" priority="1" dxfId="50" stopIfTrue="1">
      <formula>$A15="Meta"</formula>
    </cfRule>
    <cfRule type="expression" priority="2" dxfId="49" stopIfTrue="1">
      <formula>OR(PLQ!#REF!=0,$A15&lt;&gt;"Serviço")</formula>
    </cfRule>
    <cfRule type="expression" priority="3" dxfId="2" stopIfTrue="1">
      <formula>TipoOrçamento="Licitado"</formula>
    </cfRule>
  </conditionalFormatting>
  <dataValidations count="1">
    <dataValidation type="decimal" operator="greaterThanOrEqual" allowBlank="1" showInputMessage="1" showErrorMessage="1" error="Digite apenas números.&#10;&#10;preferencialmente com 02 casas de precisão." sqref="U11 F11:O11 U14:U41 F14:O41">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47 B44"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Plan6">
    <tabColor rgb="FFFFFF00"/>
    <outlinePr summaryBelow="0"/>
  </sheetPr>
  <dimension ref="A1:AC31"/>
  <sheetViews>
    <sheetView showGridLines="0" zoomScaleSheetLayoutView="100" zoomScalePageLayoutView="0" workbookViewId="0" topLeftCell="L1">
      <selection activeCell="R19" sqref="R19"/>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75" customHeight="1">
      <c r="A1" s="21"/>
      <c r="B1" s="21"/>
      <c r="C1" s="21"/>
      <c r="D1" s="21"/>
      <c r="E1" s="172"/>
      <c r="F1" s="172"/>
      <c r="G1" s="172"/>
      <c r="H1" s="172"/>
      <c r="I1" s="172"/>
      <c r="J1" s="172"/>
      <c r="K1" s="172"/>
      <c r="L1" s="21"/>
      <c r="M1" s="21"/>
      <c r="N1" s="21"/>
      <c r="O1" s="173" t="s">
        <v>22</v>
      </c>
      <c r="P1" s="174" t="s">
        <v>116</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75"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75"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75"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177</v>
      </c>
      <c r="B8" s="1"/>
      <c r="C8" s="1"/>
      <c r="D8" s="1"/>
      <c r="E8" s="1"/>
      <c r="F8" s="1"/>
      <c r="G8" s="1"/>
      <c r="H8" s="1"/>
      <c r="I8" s="1"/>
      <c r="J8" s="1"/>
      <c r="K8" s="1"/>
      <c r="L8" s="381" t="str">
        <f ca="1">IF(MAX($A$14:$A$22)&lt;&gt;MAX(PO!$V$12:$V$42),"ERRO: CRONOGRAMA DESATUALIZADO",IF(OR(COUNTIF($O$16:$X$16,"&gt;1")&gt;0,OFFSET($X$17,0,-1)&lt;&gt;$N$14),"ERRO: CRONOGRAMA NÃO FECHA EM 100%",""))</f>
        <v>ERRO: CRONOGRAMA NÃO FECHA EM 100%</v>
      </c>
      <c r="M8" s="381"/>
      <c r="N8" s="160">
        <f>IF(TipoOrçamento="REPROGRAMADOAC","Qtde de Medições realizadas","")</f>
      </c>
      <c r="O8" s="178"/>
      <c r="P8" s="179"/>
      <c r="Q8" s="1"/>
      <c r="R8" s="1"/>
      <c r="S8" s="1"/>
      <c r="T8" s="1"/>
      <c r="U8" s="1"/>
      <c r="V8" s="1"/>
      <c r="W8" s="1"/>
      <c r="X8" s="1"/>
      <c r="AC8" s="1"/>
    </row>
    <row r="9" spans="1:29" s="41" customFormat="1" ht="13.5" customHeight="1">
      <c r="A9" s="166">
        <v>1</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162</v>
      </c>
      <c r="B10" s="180" t="s">
        <v>130</v>
      </c>
      <c r="C10" s="180" t="s">
        <v>3</v>
      </c>
      <c r="D10" s="180" t="s">
        <v>124</v>
      </c>
      <c r="E10" s="180" t="s">
        <v>110</v>
      </c>
      <c r="F10" s="180" t="s">
        <v>111</v>
      </c>
      <c r="G10" s="180" t="s">
        <v>128</v>
      </c>
      <c r="H10" s="180" t="s">
        <v>129</v>
      </c>
      <c r="I10" s="180" t="s">
        <v>125</v>
      </c>
      <c r="J10" s="180" t="s">
        <v>126</v>
      </c>
      <c r="K10" s="180" t="s">
        <v>179</v>
      </c>
      <c r="L10" s="181" t="s">
        <v>148</v>
      </c>
      <c r="M10" s="182" t="s">
        <v>161</v>
      </c>
      <c r="N10" s="183" t="s">
        <v>140</v>
      </c>
      <c r="O10" s="218" t="str">
        <f>IF(TipoOrçamento="REPROGRAMADOAC","Reinício de Obra","Início de Obra")&amp;CHAR(10)&amp;TEXT(DADOS!A48,"dd/mm/aa")</f>
        <v>Início de Obra
01/06/20</v>
      </c>
      <c r="P10" s="219" t="str">
        <f>IF(AND(TipoOrçamento="REPROGRAMADOAC",$N$9&gt;0,N10="Valores Totais (R$)"),"Parcela "&amp;$N$9&amp;" Executado","Parcela "&amp;P$9&amp;CHAR(10)&amp;TEXT(DATE(YEAR(DADOS!$A$48),MONTH(DADOS!$A$48)+P$9-IF(AND(TipoOrçamento="REPROGRAMADOAC",$N$9&gt;0),$N$9,0),1),"mmm/aa"))</f>
        <v>Parcela 1
jul/20</v>
      </c>
      <c r="Q10" s="210" t="str">
        <f>IF(AND(TipoOrçamento="REPROGRAMADOAC",$N$9&gt;0,O10="Valores Totais (R$)"),"Parcela "&amp;$N$9&amp;" Executado","Parcela "&amp;Q$9&amp;CHAR(10)&amp;TEXT(DATE(YEAR(DADOS!$A$48),MONTH(DADOS!$A$48)+Q$9-IF(AND(TipoOrçamento="REPROGRAMADOAC",$N$9&gt;0),$N$9,0),1),"mmm/aa"))</f>
        <v>Parcela 2
ago/20</v>
      </c>
      <c r="R10" s="210" t="str">
        <f>IF(AND(TipoOrçamento="REPROGRAMADOAC",$N$9&gt;0,P10="Valores Totais (R$)"),"Parcela "&amp;$N$9&amp;" Executado","Parcela "&amp;R$9&amp;CHAR(10)&amp;TEXT(DATE(YEAR(DADOS!$A$48),MONTH(DADOS!$A$48)+R$9-IF(AND(TipoOrçamento="REPROGRAMADOAC",$N$9&gt;0),$N$9,0),1),"mmm/aa"))</f>
        <v>Parcela 3
set/20</v>
      </c>
      <c r="S10" s="210" t="str">
        <f>IF(AND(TipoOrçamento="REPROGRAMADOAC",$N$9&gt;0,Q10="Valores Totais (R$)"),"Parcela "&amp;$N$9&amp;" Executado","Parcela "&amp;S$9&amp;CHAR(10)&amp;TEXT(DATE(YEAR(DADOS!$A$48),MONTH(DADOS!$A$48)+S$9-IF(AND(TipoOrçamento="REPROGRAMADOAC",$N$9&gt;0),$N$9,0),1),"mmm/aa"))</f>
        <v>Parcela 4
out/20</v>
      </c>
      <c r="T10" s="210" t="str">
        <f>IF(AND(TipoOrçamento="REPROGRAMADOAC",$N$9&gt;0,R10="Valores Totais (R$)"),"Parcela "&amp;$N$9&amp;" Executado","Parcela "&amp;T$9&amp;CHAR(10)&amp;TEXT(DATE(YEAR(DADOS!$A$48),MONTH(DADOS!$A$48)+T$9-IF(AND(TipoOrçamento="REPROGRAMADOAC",$N$9&gt;0),$N$9,0),1),"mmm/aa"))</f>
        <v>Parcela 5
nov/20</v>
      </c>
      <c r="U10" s="210" t="str">
        <f>IF(AND(TipoOrçamento="REPROGRAMADOAC",$N$9&gt;0,S10="Valores Totais (R$)"),"Parcela "&amp;$N$9&amp;" Executado","Parcela "&amp;U$9&amp;CHAR(10)&amp;TEXT(DATE(YEAR(DADOS!$A$48),MONTH(DADOS!$A$48)+U$9-IF(AND(TipoOrçamento="REPROGRAMADOAC",$N$9&gt;0),$N$9,0),1),"mmm/aa"))</f>
        <v>Parcela 6
dez/20</v>
      </c>
      <c r="V10" s="210" t="str">
        <f>IF(AND(TipoOrçamento="REPROGRAMADOAC",$N$9&gt;0,T10="Valores Totais (R$)"),"Parcela "&amp;$N$9&amp;" Executado","Parcela "&amp;V$9&amp;CHAR(10)&amp;TEXT(DATE(YEAR(DADOS!$A$48),MONTH(DADOS!$A$48)+V$9-IF(AND(TipoOrçamento="REPROGRAMADOAC",$N$9&gt;0),$N$9,0),1),"mmm/aa"))</f>
        <v>Parcela 7
jan/21</v>
      </c>
      <c r="W10" s="222" t="str">
        <f>IF(AND(TipoOrçamento="REPROGRAMADOAC",$N$9&gt;0,U10="Valores Totais (R$)"),"Parcela "&amp;$N$9&amp;" Executado","Parcela "&amp;W$9&amp;CHAR(10)&amp;TEXT(DATE(YEAR(DADOS!$A$48),MONTH(DADOS!$A$48)+W$9-IF(AND(TipoOrçamento="REPROGRAMADOAC",$N$9&gt;0),$N$9,0),1),"mmm/aa"))</f>
        <v>Parcela 8
fev/21</v>
      </c>
      <c r="X10" s="195"/>
      <c r="AC10" s="210" t="str">
        <f>IF(AND(TipoOrçamento="REPROGRAMADOAC",$N$9&gt;0,AA10="Valores Totais (R$)"),"Parcela "&amp;$N$9&amp;" Executado","Parcela "&amp;AC$9&amp;CHAR(10)&amp;TEXT(DATE(YEAR(DADOS!$A$48),MONTH(DADOS!$A$48)+AC$9-IF(AND(TipoOrçamento="REPROGRAMADOAC",$N$9&gt;0),$N$9,0),1),"mmm/aa"))</f>
        <v>Parcela 1
jul/20</v>
      </c>
    </row>
    <row r="11" spans="1:29" ht="14.25" customHeight="1" hidden="1">
      <c r="A11" s="82"/>
      <c r="B11" s="82"/>
      <c r="C11" s="82"/>
      <c r="D11" s="82"/>
      <c r="E11" s="82"/>
      <c r="F11" s="82"/>
      <c r="G11" s="82"/>
      <c r="H11" s="82"/>
      <c r="I11" s="82"/>
      <c r="J11" s="82"/>
      <c r="K11" s="82"/>
      <c r="L11" s="371" t="e">
        <f>INDEX(PO!K$12:K$42,MATCH($A13,PO!$V$12:$V$42,0))</f>
        <v>#VALUE!</v>
      </c>
      <c r="M11" s="373" t="e">
        <f>INDEX(PO!N$12:N$42,MATCH($A13,PO!$V$12:$V$42,0))</f>
        <v>#VALUE!</v>
      </c>
      <c r="N11" s="375" t="e">
        <f>IF(ROUND(K13,2)=0,K13,ROUND(K13,2))</f>
        <v>#VALUE!</v>
      </c>
      <c r="O11" s="220" t="s">
        <v>144</v>
      </c>
      <c r="P11" s="225" t="e">
        <f>IF($B13,0,P12-IF(ISNUMBER(O12),O12,0))</f>
        <v>#VALUE!</v>
      </c>
      <c r="Q11" s="226" t="e">
        <f aca="true" t="shared" si="1" ref="Q11:W11">IF($B13,0,Q12-IF(ISNUMBER(P12),P12,0))</f>
        <v>#VALUE!</v>
      </c>
      <c r="R11" s="226" t="e">
        <f t="shared" si="1"/>
        <v>#VALUE!</v>
      </c>
      <c r="S11" s="226" t="e">
        <f t="shared" si="1"/>
        <v>#VALUE!</v>
      </c>
      <c r="T11" s="226" t="e">
        <f t="shared" si="1"/>
        <v>#VALUE!</v>
      </c>
      <c r="U11" s="226" t="e">
        <f t="shared" si="1"/>
        <v>#VALUE!</v>
      </c>
      <c r="V11" s="226" t="e">
        <f t="shared" si="1"/>
        <v>#VALUE!</v>
      </c>
      <c r="W11" s="227" t="e">
        <f t="shared" si="1"/>
        <v>#VALUE!</v>
      </c>
      <c r="X11" s="196"/>
      <c r="AC11" s="221" t="e">
        <f>IF($B13,0,AC12-IF(ISNUMBER(AB12),AB12,0))</f>
        <v>#VALUE!</v>
      </c>
    </row>
    <row r="12" spans="1:29" ht="14.25" hidden="1">
      <c r="A12" s="184"/>
      <c r="B12" s="184"/>
      <c r="C12" s="184"/>
      <c r="D12" s="184"/>
      <c r="E12" s="184"/>
      <c r="F12" s="184"/>
      <c r="G12" s="184"/>
      <c r="H12" s="184"/>
      <c r="I12" s="184"/>
      <c r="J12" s="184"/>
      <c r="K12" s="184"/>
      <c r="L12" s="372"/>
      <c r="M12" s="374"/>
      <c r="N12" s="376"/>
      <c r="O12" s="170" t="s">
        <v>146</v>
      </c>
      <c r="P12" s="198" t="e">
        <f>MIN(IF($B13,P11+IF(ISNUMBER(O12),O12,0),P13/$N11),1)</f>
        <v>#VALUE!</v>
      </c>
      <c r="Q12" s="168" t="e">
        <f aca="true" t="shared" si="2" ref="Q12:W12">MIN(IF($B13,Q11+IF(ISNUMBER(P12),P12,0),Q13/$N11),1)</f>
        <v>#VALUE!</v>
      </c>
      <c r="R12" s="168" t="e">
        <f t="shared" si="2"/>
        <v>#VALUE!</v>
      </c>
      <c r="S12" s="168" t="e">
        <f t="shared" si="2"/>
        <v>#VALUE!</v>
      </c>
      <c r="T12" s="168" t="e">
        <f t="shared" si="2"/>
        <v>#VALUE!</v>
      </c>
      <c r="U12" s="168" t="e">
        <f t="shared" si="2"/>
        <v>#VALUE!</v>
      </c>
      <c r="V12" s="168" t="e">
        <f t="shared" si="2"/>
        <v>#VALUE!</v>
      </c>
      <c r="W12" s="168" t="e">
        <f t="shared" si="2"/>
        <v>#VALUE!</v>
      </c>
      <c r="X12" s="196"/>
      <c r="AC12" s="168" t="e">
        <f>MIN(IF($B13,AC11+IF(ISNUMBER(AB12),AB12,0),AC13/$N11),1)</f>
        <v>#VALUE!</v>
      </c>
    </row>
    <row r="13" spans="1:29" ht="14.25" hidden="1">
      <c r="A13" s="184" t="e">
        <f ca="1">OFFSET(A13,-CFF.NumLinha,0)+1</f>
        <v>#VALUE!</v>
      </c>
      <c r="B13" s="184" t="e">
        <f ca="1">$C13&gt;=OFFSET($C13,CFF.NumLinha,0)</f>
        <v>#VALUE!</v>
      </c>
      <c r="C13" s="184" t="e">
        <f>INDEX(PO!A$12:A$42,MATCH($A13,PO!$V$12:$V$42,0))</f>
        <v>#VALUE!</v>
      </c>
      <c r="D13" s="184" t="e">
        <f>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MATCH(0,OFFSET($D13,1,$C13,ROW($A$21)-ROW($A13)),0)</f>
        <v>#VALUE!</v>
      </c>
      <c r="J13" s="184" t="e">
        <f ca="1">MATCH(OFFSET($D13,0,$C13)+1,OFFSET($D13,1,$C13,ROW($A$21)-ROW($A13)),0)</f>
        <v>#VALUE!</v>
      </c>
      <c r="K13" s="185" t="e">
        <f>ROUND(INDEX(PO!T$12:T$42,MATCH($A13,PO!$V$12:$V$42,0)),2)+10^-12</f>
        <v>#VALUE!</v>
      </c>
      <c r="L13" s="372"/>
      <c r="M13" s="374"/>
      <c r="N13" s="376"/>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3" t="s">
        <v>19</v>
      </c>
      <c r="M14" s="384"/>
      <c r="N14" s="389">
        <f>IF(PO!$T$12=0,10^-12,PO!$T$12)</f>
        <v>1E-12</v>
      </c>
      <c r="O14" s="167" t="s">
        <v>144</v>
      </c>
      <c r="P14" s="205">
        <f>ROUND(P15/$N14,4)</f>
        <v>0</v>
      </c>
      <c r="Q14" s="206">
        <f aca="true" t="shared" si="4" ref="Q14:W14">ROUND(Q15/$N14,4)</f>
        <v>0</v>
      </c>
      <c r="R14" s="206">
        <f t="shared" si="4"/>
        <v>0</v>
      </c>
      <c r="S14" s="206">
        <f t="shared" si="4"/>
        <v>0</v>
      </c>
      <c r="T14" s="206">
        <f t="shared" si="4"/>
        <v>0</v>
      </c>
      <c r="U14" s="206">
        <f t="shared" si="4"/>
        <v>0</v>
      </c>
      <c r="V14" s="206">
        <f t="shared" si="4"/>
        <v>0</v>
      </c>
      <c r="W14" s="206">
        <f t="shared" si="4"/>
        <v>0</v>
      </c>
      <c r="X14" s="171"/>
      <c r="AC14" s="206">
        <f>ROUND(AC15/$N14,4)</f>
        <v>0</v>
      </c>
    </row>
    <row r="15" spans="1:29" s="44" customFormat="1" ht="12.75" customHeight="1">
      <c r="A15" s="1"/>
      <c r="B15" s="1"/>
      <c r="C15" s="1"/>
      <c r="D15" s="1"/>
      <c r="E15" s="1"/>
      <c r="F15" s="1"/>
      <c r="G15" s="1"/>
      <c r="H15" s="1"/>
      <c r="I15" s="1"/>
      <c r="J15" s="1"/>
      <c r="K15" s="1"/>
      <c r="L15" s="385"/>
      <c r="M15" s="386"/>
      <c r="N15" s="390"/>
      <c r="O15" s="156" t="s">
        <v>145</v>
      </c>
      <c r="P15" s="200">
        <f>P17-IF(ISNUMBER(O17),O17,0)</f>
        <v>0</v>
      </c>
      <c r="Q15" s="150">
        <f aca="true" t="shared" si="5" ref="Q15:W15">Q17-IF(ISNUMBER(P17),P17,0)</f>
        <v>0</v>
      </c>
      <c r="R15" s="150">
        <f t="shared" si="5"/>
        <v>0</v>
      </c>
      <c r="S15" s="150">
        <f t="shared" si="5"/>
        <v>0</v>
      </c>
      <c r="T15" s="150">
        <f t="shared" si="5"/>
        <v>0</v>
      </c>
      <c r="U15" s="150">
        <f t="shared" si="5"/>
        <v>0</v>
      </c>
      <c r="V15" s="150">
        <f t="shared" si="5"/>
        <v>0</v>
      </c>
      <c r="W15" s="150">
        <f t="shared" si="5"/>
        <v>0</v>
      </c>
      <c r="X15" s="171"/>
      <c r="AC15" s="150">
        <f>AC17-IF(ISNUMBER(AB17),AB17,0)</f>
        <v>0</v>
      </c>
    </row>
    <row r="16" spans="1:29" s="44" customFormat="1" ht="12.75" customHeight="1">
      <c r="A16" s="1"/>
      <c r="B16" s="1"/>
      <c r="C16" s="1"/>
      <c r="D16" s="1"/>
      <c r="E16" s="1"/>
      <c r="F16" s="1"/>
      <c r="G16" s="1"/>
      <c r="H16" s="1"/>
      <c r="I16" s="1"/>
      <c r="J16" s="1"/>
      <c r="K16" s="1"/>
      <c r="L16" s="385"/>
      <c r="M16" s="386"/>
      <c r="N16" s="390"/>
      <c r="O16" s="157" t="s">
        <v>146</v>
      </c>
      <c r="P16" s="201">
        <f>ROUND(P17/$N14,4)</f>
        <v>0</v>
      </c>
      <c r="Q16" s="151">
        <f aca="true" t="shared" si="6" ref="Q16:W16">ROUND(Q17/$N14,4)</f>
        <v>0</v>
      </c>
      <c r="R16" s="151">
        <f t="shared" si="6"/>
        <v>0</v>
      </c>
      <c r="S16" s="151">
        <f t="shared" si="6"/>
        <v>0</v>
      </c>
      <c r="T16" s="151">
        <f t="shared" si="6"/>
        <v>0</v>
      </c>
      <c r="U16" s="151">
        <f t="shared" si="6"/>
        <v>0</v>
      </c>
      <c r="V16" s="151">
        <f t="shared" si="6"/>
        <v>0</v>
      </c>
      <c r="W16" s="151">
        <f t="shared" si="6"/>
        <v>0</v>
      </c>
      <c r="X16" s="171"/>
      <c r="AC16" s="151">
        <f>ROUND(AC17/$N14,4)</f>
        <v>0</v>
      </c>
    </row>
    <row r="17" spans="1:29" s="44" customFormat="1" ht="12.75" customHeight="1">
      <c r="A17" s="114">
        <v>0</v>
      </c>
      <c r="B17" s="1"/>
      <c r="C17" s="1"/>
      <c r="D17" s="114">
        <f>ROW(D$21)-ROW(D18)</f>
        <v>3</v>
      </c>
      <c r="E17" s="1"/>
      <c r="F17" s="1"/>
      <c r="G17" s="1"/>
      <c r="H17" s="1"/>
      <c r="I17" s="1"/>
      <c r="J17" s="1"/>
      <c r="K17" s="1"/>
      <c r="L17" s="387"/>
      <c r="M17" s="388"/>
      <c r="N17" s="391"/>
      <c r="O17" s="158" t="s">
        <v>20</v>
      </c>
      <c r="P17" s="202">
        <f ca="1">SUMIF(OFFSET($C17,1,0):$C$21,1,OFFSET(P17,1,0):P$21)</f>
        <v>0</v>
      </c>
      <c r="Q17" s="152">
        <f ca="1">SUMIF(OFFSET($C17,1,0):$C$21,1,OFFSET(Q17,1,0):Q$21)</f>
        <v>0</v>
      </c>
      <c r="R17" s="152">
        <f ca="1">SUMIF(OFFSET($C17,1,0):$C$21,1,OFFSET(R17,1,0):R$21)</f>
        <v>0</v>
      </c>
      <c r="S17" s="152">
        <f ca="1">SUMIF(OFFSET($C17,1,0):$C$21,1,OFFSET(S17,1,0):S$21)</f>
        <v>0</v>
      </c>
      <c r="T17" s="152">
        <f ca="1">SUMIF(OFFSET($C17,1,0):$C$21,1,OFFSET(T17,1,0):T$21)</f>
        <v>0</v>
      </c>
      <c r="U17" s="152">
        <f ca="1">SUMIF(OFFSET($C17,1,0):$C$21,1,OFFSET(U17,1,0):U$21)</f>
        <v>0</v>
      </c>
      <c r="V17" s="152">
        <f ca="1">SUMIF(OFFSET($C17,1,0):$C$21,1,OFFSET(V17,1,0):V$21)</f>
        <v>0</v>
      </c>
      <c r="W17" s="152">
        <f ca="1">SUMIF(OFFSET($C17,1,0):$C$21,1,OFFSET(W17,1,0):W$21)</f>
        <v>0</v>
      </c>
      <c r="X17" s="171"/>
      <c r="AC17" s="152">
        <f ca="1">SUMIF(OFFSET($C17,1,0):$C$21,1,OFFSET(AC17,1,0):AC$21)</f>
        <v>0</v>
      </c>
    </row>
    <row r="18" spans="1:29" ht="14.25" customHeight="1">
      <c r="A18" s="1"/>
      <c r="B18" s="1"/>
      <c r="C18" s="1"/>
      <c r="D18" s="1"/>
      <c r="E18" s="1"/>
      <c r="F18" s="1"/>
      <c r="G18" s="1"/>
      <c r="H18" s="1"/>
      <c r="I18" s="1"/>
      <c r="J18" s="1"/>
      <c r="K18" s="1"/>
      <c r="L18" s="371" t="str">
        <f>INDEX(PO!K$12:K$42,MATCH($A20,PO!$V$12:$V$42,0))</f>
        <v>1.</v>
      </c>
      <c r="M18" s="373" t="str">
        <f>INDEX(PO!N$12:N$42,MATCH($A20,PO!$V$12:$V$42,0))</f>
        <v>PAVIMENTAÇÃO ASFÁLTICA COM GUIAS, SARJETAS E PASSEIO, NAS RUA FLÓRIDA, GLÓRIA, LÍDIA. MARÍLIA E DILMA.</v>
      </c>
      <c r="N18" s="375">
        <f>IF(ROUND(K20,2)=0,K20,ROUND(K20,2))</f>
        <v>1E-12</v>
      </c>
      <c r="O18" s="203" t="s">
        <v>144</v>
      </c>
      <c r="P18" s="225">
        <v>0.1369</v>
      </c>
      <c r="Q18" s="226">
        <v>0.6592</v>
      </c>
      <c r="R18" s="226">
        <v>0.2039</v>
      </c>
      <c r="S18" s="226">
        <v>0.19693393</v>
      </c>
      <c r="T18" s="226">
        <f>IF($B20,0,T19-IF(ISNUMBER(S19),S19,0))</f>
        <v>0</v>
      </c>
      <c r="U18" s="226">
        <f>IF($B20,0,U19-IF(ISNUMBER(T19),T19,0))</f>
        <v>0</v>
      </c>
      <c r="V18" s="226">
        <f>IF($B20,0,V19-IF(ISNUMBER(U19),U19,0))</f>
        <v>0</v>
      </c>
      <c r="W18" s="227">
        <f>IF($B20,0,W19-IF(ISNUMBER(V19),V19,0))</f>
        <v>0</v>
      </c>
      <c r="X18" s="197" t="s">
        <v>107</v>
      </c>
      <c r="AC18" s="221">
        <f>IF($B20,0,AC19-IF(ISNUMBER(AB19),AB19,0))</f>
        <v>0</v>
      </c>
    </row>
    <row r="19" spans="1:29" ht="14.25">
      <c r="A19" s="1"/>
      <c r="B19" s="1"/>
      <c r="C19" s="1"/>
      <c r="D19" s="1"/>
      <c r="E19" s="1"/>
      <c r="F19" s="1"/>
      <c r="G19" s="1"/>
      <c r="H19" s="1"/>
      <c r="I19" s="1"/>
      <c r="J19" s="1"/>
      <c r="K19" s="1"/>
      <c r="L19" s="372"/>
      <c r="M19" s="374"/>
      <c r="N19" s="376"/>
      <c r="O19" s="170" t="s">
        <v>146</v>
      </c>
      <c r="P19" s="198">
        <f aca="true" t="shared" si="7" ref="P19:W19">MIN(IF($B20,P18+IF(ISNUMBER(O19),O19,0),P20/$N18),1)</f>
        <v>0.1369</v>
      </c>
      <c r="Q19" s="168">
        <f t="shared" si="7"/>
        <v>0.7961</v>
      </c>
      <c r="R19" s="168">
        <f t="shared" si="7"/>
        <v>1</v>
      </c>
      <c r="S19" s="168">
        <f t="shared" si="7"/>
        <v>1</v>
      </c>
      <c r="T19" s="168">
        <f t="shared" si="7"/>
        <v>1</v>
      </c>
      <c r="U19" s="168">
        <f t="shared" si="7"/>
        <v>1</v>
      </c>
      <c r="V19" s="168">
        <f t="shared" si="7"/>
        <v>1</v>
      </c>
      <c r="W19" s="168">
        <f t="shared" si="7"/>
        <v>1</v>
      </c>
      <c r="X19" s="196"/>
      <c r="AC19" s="168">
        <f>MIN(IF($B20,AC18+IF(ISNUMBER(AB19),AB19,0),AC20/$N18),1)</f>
        <v>0</v>
      </c>
    </row>
    <row r="20" spans="1:29" ht="14.25">
      <c r="A20" s="114">
        <f ca="1">OFFSET(A20,-CFF.NumLinha,0)+1</f>
        <v>1</v>
      </c>
      <c r="B20" s="1" t="b">
        <f ca="1">$C20&gt;=OFFSET($C20,CFF.NumLinha,0)</f>
        <v>1</v>
      </c>
      <c r="C20" s="184">
        <f>INDEX(PO!A$12:A$42,MATCH($A20,PO!$V$12:$V$42,0))</f>
        <v>1</v>
      </c>
      <c r="D20" s="184">
        <f>IF(ISERROR(J20),I20,SMALL(I20:J20,1))-1</f>
        <v>0</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MATCH(0,OFFSET($D20,1,$C20,ROW($A$21)-ROW($A20)),0)</f>
        <v>1</v>
      </c>
      <c r="J20" s="184" t="e">
        <f ca="1">MATCH(OFFSET($D20,0,$C20)+1,OFFSET($D20,1,$C20,ROW($A$21)-ROW($A20)),0)</f>
        <v>#N/A</v>
      </c>
      <c r="K20" s="185">
        <f>ROUND(INDEX(PO!T$12:T$42,MATCH($A20,PO!$V$12:$V$42,0)),2)+10^-12</f>
        <v>1E-12</v>
      </c>
      <c r="L20" s="372"/>
      <c r="M20" s="374"/>
      <c r="N20" s="376"/>
      <c r="O20" s="204" t="s">
        <v>20</v>
      </c>
      <c r="P20" s="199">
        <f aca="true" ca="1" t="shared" si="8" ref="P20:W20">IF($B20,ROUND(P19*$N18,2),ROUND(SUMIF(OFFSET($B20,1,0,$D20),TRUE,OFFSET(P20,1,0,$D20))/SUMIF(OFFSET($B20,1,0,$D20),TRUE,OFFSET($K20,1,0,$D20))*$N18,2))</f>
        <v>0</v>
      </c>
      <c r="Q20" s="169">
        <f ca="1" t="shared" si="8"/>
        <v>0</v>
      </c>
      <c r="R20" s="169">
        <f ca="1" t="shared" si="8"/>
        <v>0</v>
      </c>
      <c r="S20" s="169">
        <f ca="1" t="shared" si="8"/>
        <v>0</v>
      </c>
      <c r="T20" s="169">
        <f ca="1" t="shared" si="8"/>
        <v>0</v>
      </c>
      <c r="U20" s="169">
        <f ca="1" t="shared" si="8"/>
        <v>0</v>
      </c>
      <c r="V20" s="169">
        <f ca="1" t="shared" si="8"/>
        <v>0</v>
      </c>
      <c r="W20" s="207">
        <f ca="1" t="shared" si="8"/>
        <v>0</v>
      </c>
      <c r="X20" s="196"/>
      <c r="AC20" s="169">
        <f ca="1">IF($B20,ROUND(AC19*$N18,2),ROUND(SUMIF(OFFSET($B20,1,0,$D20),TRUE,OFFSET(AC20,1,0,$D20))/SUMIF(OFFSET($B20,1,0,$D20),TRUE,OFFSET($K20,1,0,$D20))*$N18,2))</f>
        <v>0</v>
      </c>
    </row>
    <row r="21" spans="1:29" s="45" customFormat="1" ht="12.75" customHeight="1">
      <c r="A21" s="1"/>
      <c r="B21" s="1"/>
      <c r="C21" s="184">
        <v>-1</v>
      </c>
      <c r="D21" s="184"/>
      <c r="E21" s="184">
        <v>0</v>
      </c>
      <c r="F21" s="184">
        <v>0</v>
      </c>
      <c r="G21" s="184">
        <v>0</v>
      </c>
      <c r="H21" s="184">
        <v>0</v>
      </c>
      <c r="I21" s="1"/>
      <c r="J21" s="1"/>
      <c r="K21" s="1"/>
      <c r="L21" s="154"/>
      <c r="M21" s="154"/>
      <c r="N21" s="155"/>
      <c r="O21" s="154"/>
      <c r="P21" s="154"/>
      <c r="Q21" s="155"/>
      <c r="R21" s="154"/>
      <c r="S21" s="154"/>
      <c r="T21" s="154"/>
      <c r="U21" s="154"/>
      <c r="V21" s="154"/>
      <c r="W21" s="154"/>
      <c r="X21" s="186"/>
      <c r="AC21" s="154"/>
    </row>
    <row r="22" spans="1:29" ht="12" customHeight="1">
      <c r="A22" s="1"/>
      <c r="B22" s="1"/>
      <c r="C22" s="1"/>
      <c r="D22" s="1"/>
      <c r="E22" s="1"/>
      <c r="F22" s="1"/>
      <c r="G22" s="1"/>
      <c r="H22" s="1"/>
      <c r="I22" s="1"/>
      <c r="J22" s="1"/>
      <c r="K22" s="1"/>
      <c r="L22" s="187"/>
      <c r="M22" s="187"/>
      <c r="N22" s="187"/>
      <c r="O22" s="187"/>
      <c r="P22" s="187"/>
      <c r="Q22" s="187"/>
      <c r="R22" s="187"/>
      <c r="S22" s="187"/>
      <c r="T22" s="187"/>
      <c r="U22" s="187"/>
      <c r="V22" s="187"/>
      <c r="W22" s="187"/>
      <c r="X22" s="188"/>
      <c r="AC22" s="187"/>
    </row>
    <row r="23" spans="1:29" ht="12.75">
      <c r="A23" s="1"/>
      <c r="B23" s="1"/>
      <c r="C23" s="1"/>
      <c r="D23" s="1"/>
      <c r="E23" s="1"/>
      <c r="F23" s="1"/>
      <c r="G23" s="1"/>
      <c r="H23" s="1"/>
      <c r="I23" s="1"/>
      <c r="J23" s="1"/>
      <c r="K23" s="1"/>
      <c r="L23" s="380">
        <f>DADOS!I32</f>
        <v>0</v>
      </c>
      <c r="M23" s="380"/>
      <c r="N23" s="380"/>
      <c r="O23" s="187"/>
      <c r="P23" s="189"/>
      <c r="Q23" s="377"/>
      <c r="R23" s="377"/>
      <c r="S23" s="377"/>
      <c r="T23" s="187"/>
      <c r="U23" s="187"/>
      <c r="V23" s="187"/>
      <c r="W23" s="187"/>
      <c r="X23" s="188"/>
      <c r="AC23" s="187"/>
    </row>
    <row r="24" spans="1:29" ht="12.75">
      <c r="A24" s="1"/>
      <c r="B24" s="1"/>
      <c r="C24" s="1"/>
      <c r="D24" s="1"/>
      <c r="E24" s="1"/>
      <c r="F24" s="1"/>
      <c r="G24" s="1"/>
      <c r="H24" s="1"/>
      <c r="I24" s="1"/>
      <c r="J24" s="1"/>
      <c r="K24" s="1"/>
      <c r="L24" s="190" t="s">
        <v>121</v>
      </c>
      <c r="M24" s="379"/>
      <c r="N24" s="379"/>
      <c r="O24" s="187"/>
      <c r="P24" s="189"/>
      <c r="Q24" s="377"/>
      <c r="R24" s="377"/>
      <c r="S24" s="377"/>
      <c r="T24" s="187"/>
      <c r="U24" s="187"/>
      <c r="V24" s="187"/>
      <c r="W24" s="187"/>
      <c r="X24" s="188"/>
      <c r="AC24" s="187"/>
    </row>
    <row r="25" spans="1:29" ht="12.75">
      <c r="A25" s="1"/>
      <c r="B25" s="1"/>
      <c r="C25" s="1"/>
      <c r="D25" s="1"/>
      <c r="E25" s="1"/>
      <c r="F25" s="1"/>
      <c r="G25" s="1"/>
      <c r="H25" s="1"/>
      <c r="I25" s="1"/>
      <c r="J25" s="1"/>
      <c r="K25" s="1"/>
      <c r="L25" s="189"/>
      <c r="M25" s="378"/>
      <c r="N25" s="379"/>
      <c r="O25" s="187"/>
      <c r="P25" s="189"/>
      <c r="Q25" s="377"/>
      <c r="R25" s="377"/>
      <c r="S25" s="377"/>
      <c r="T25" s="187"/>
      <c r="U25" s="187"/>
      <c r="V25" s="187"/>
      <c r="W25" s="187"/>
      <c r="X25" s="188"/>
      <c r="AC25" s="187"/>
    </row>
    <row r="26" spans="1:29" ht="12.75">
      <c r="A26" s="1"/>
      <c r="B26" s="1"/>
      <c r="C26" s="1"/>
      <c r="D26" s="1"/>
      <c r="E26" s="1"/>
      <c r="F26" s="1"/>
      <c r="G26" s="1"/>
      <c r="H26" s="1"/>
      <c r="I26" s="1"/>
      <c r="J26" s="1"/>
      <c r="K26" s="1"/>
      <c r="L26" s="382">
        <f>PO!K56</f>
        <v>43966</v>
      </c>
      <c r="M26" s="382"/>
      <c r="N26" s="382"/>
      <c r="O26" s="187"/>
      <c r="P26" s="187"/>
      <c r="Q26" s="187"/>
      <c r="R26" s="187"/>
      <c r="S26" s="187"/>
      <c r="T26" s="187"/>
      <c r="U26" s="187"/>
      <c r="V26" s="187"/>
      <c r="W26" s="187"/>
      <c r="X26" s="191"/>
      <c r="AC26" s="187"/>
    </row>
    <row r="27" spans="1:29" ht="12.75">
      <c r="A27" s="1"/>
      <c r="B27" s="1"/>
      <c r="C27" s="1"/>
      <c r="D27" s="1"/>
      <c r="E27" s="1"/>
      <c r="F27" s="1"/>
      <c r="G27" s="1"/>
      <c r="H27" s="1"/>
      <c r="I27" s="1"/>
      <c r="J27" s="1"/>
      <c r="K27" s="1"/>
      <c r="L27" s="192" t="s">
        <v>122</v>
      </c>
      <c r="M27" s="193"/>
      <c r="N27" s="193"/>
      <c r="O27" s="187"/>
      <c r="P27" s="187"/>
      <c r="Q27" s="187"/>
      <c r="R27" s="187"/>
      <c r="S27" s="187"/>
      <c r="T27" s="187"/>
      <c r="U27" s="187"/>
      <c r="V27" s="187"/>
      <c r="W27" s="187"/>
      <c r="X27" s="191"/>
      <c r="AC27" s="187"/>
    </row>
    <row r="28" spans="1:29" ht="12.75">
      <c r="A28" s="1"/>
      <c r="B28" s="1"/>
      <c r="C28" s="1"/>
      <c r="D28" s="1"/>
      <c r="E28" s="1"/>
      <c r="F28" s="1"/>
      <c r="G28" s="1"/>
      <c r="H28" s="1"/>
      <c r="I28" s="1"/>
      <c r="J28" s="1"/>
      <c r="K28" s="1"/>
      <c r="L28" s="187"/>
      <c r="M28" s="187"/>
      <c r="N28" s="187"/>
      <c r="O28" s="187"/>
      <c r="P28" s="187"/>
      <c r="Q28" s="187"/>
      <c r="R28" s="187"/>
      <c r="S28" s="187"/>
      <c r="T28" s="187"/>
      <c r="U28" s="187"/>
      <c r="V28" s="187"/>
      <c r="W28" s="187"/>
      <c r="X28" s="191"/>
      <c r="AC28" s="187"/>
    </row>
    <row r="29" spans="1:29" ht="12.75">
      <c r="A29" s="1"/>
      <c r="B29" s="1"/>
      <c r="C29" s="1"/>
      <c r="D29" s="1"/>
      <c r="E29" s="1"/>
      <c r="F29" s="1"/>
      <c r="G29" s="1"/>
      <c r="H29" s="1"/>
      <c r="I29" s="1"/>
      <c r="J29" s="1"/>
      <c r="K29" s="1"/>
      <c r="L29" s="187"/>
      <c r="M29" s="187"/>
      <c r="N29" s="194"/>
      <c r="O29" s="187"/>
      <c r="P29" s="187"/>
      <c r="Q29" s="187"/>
      <c r="R29" s="187"/>
      <c r="S29" s="187"/>
      <c r="T29" s="187"/>
      <c r="U29" s="187"/>
      <c r="V29" s="187"/>
      <c r="W29" s="187"/>
      <c r="X29" s="188"/>
      <c r="AC29" s="187"/>
    </row>
    <row r="30" spans="1:29" ht="12.75">
      <c r="A30" s="1"/>
      <c r="B30" s="1"/>
      <c r="C30" s="1"/>
      <c r="D30" s="1"/>
      <c r="E30" s="1"/>
      <c r="F30" s="1"/>
      <c r="G30" s="1"/>
      <c r="H30" s="1"/>
      <c r="I30" s="1"/>
      <c r="J30" s="1"/>
      <c r="K30" s="1"/>
      <c r="L30" s="187"/>
      <c r="M30" s="187"/>
      <c r="N30" s="194"/>
      <c r="O30" s="187"/>
      <c r="P30" s="187"/>
      <c r="Q30" s="187"/>
      <c r="R30" s="187"/>
      <c r="S30" s="187"/>
      <c r="T30" s="187"/>
      <c r="U30" s="187"/>
      <c r="V30" s="187"/>
      <c r="W30" s="187"/>
      <c r="X30" s="188"/>
      <c r="AC30" s="187"/>
    </row>
    <row r="31" spans="1:29" ht="12.75">
      <c r="A31" s="1"/>
      <c r="B31" s="1"/>
      <c r="C31" s="1"/>
      <c r="D31" s="1"/>
      <c r="E31" s="1"/>
      <c r="F31" s="1"/>
      <c r="G31" s="1"/>
      <c r="H31" s="1"/>
      <c r="I31" s="1"/>
      <c r="J31" s="1"/>
      <c r="K31" s="1"/>
      <c r="L31" s="82"/>
      <c r="M31" s="82"/>
      <c r="N31" s="7"/>
      <c r="O31" s="82"/>
      <c r="P31" s="82"/>
      <c r="Q31" s="82"/>
      <c r="R31" s="82"/>
      <c r="S31" s="82"/>
      <c r="T31" s="82"/>
      <c r="U31" s="82"/>
      <c r="V31" s="82"/>
      <c r="W31" s="187"/>
      <c r="X31" s="188"/>
      <c r="AC31" s="82"/>
    </row>
  </sheetData>
  <sheetProtection password="C95B" sheet="1" objects="1" scenarios="1"/>
  <mergeCells count="16">
    <mergeCell ref="L26:N26"/>
    <mergeCell ref="L11:L13"/>
    <mergeCell ref="M11:M13"/>
    <mergeCell ref="L14:M17"/>
    <mergeCell ref="N14:N17"/>
    <mergeCell ref="L18:L20"/>
    <mergeCell ref="L8:M8"/>
    <mergeCell ref="N11:N13"/>
    <mergeCell ref="M18:M20"/>
    <mergeCell ref="N18:N20"/>
    <mergeCell ref="Q25:S25"/>
    <mergeCell ref="M25:N25"/>
    <mergeCell ref="Q24:S24"/>
    <mergeCell ref="Q23:S23"/>
    <mergeCell ref="L23:N23"/>
    <mergeCell ref="M24:N24"/>
  </mergeCells>
  <conditionalFormatting sqref="L11:N11 L12:M13 L18:N18">
    <cfRule type="expression" priority="1103" dxfId="253" stopIfTrue="1">
      <formula>$C13=1</formula>
    </cfRule>
  </conditionalFormatting>
  <conditionalFormatting sqref="O11 O18">
    <cfRule type="expression" priority="1175" dxfId="6" stopIfTrue="1">
      <formula>$B13=FALSE</formula>
    </cfRule>
    <cfRule type="expression" priority="1176" dxfId="257" stopIfTrue="1">
      <formula>$C13=1</formula>
    </cfRule>
  </conditionalFormatting>
  <conditionalFormatting sqref="P12:W12">
    <cfRule type="expression" priority="1165" dxfId="4" stopIfTrue="1">
      <formula>AND(ISNUMBER(O13),O13&gt;=$N11)</formula>
    </cfRule>
    <cfRule type="cellIs" priority="1166" dxfId="1" operator="notBetween" stopIfTrue="1">
      <formula>0</formula>
      <formula>1</formula>
    </cfRule>
  </conditionalFormatting>
  <conditionalFormatting sqref="P13:W13">
    <cfRule type="expression" priority="1167" dxfId="2" stopIfTrue="1">
      <formula>AND(ISNUMBER(O13),O13&gt;=$N11)</formula>
    </cfRule>
    <cfRule type="cellIs" priority="1168" dxfId="1" operator="notBetween" stopIfTrue="1">
      <formula>0</formula>
      <formula>$N11</formula>
    </cfRule>
  </conditionalFormatting>
  <conditionalFormatting sqref="P14:W14">
    <cfRule type="expression" priority="1169" dxfId="2" stopIfTrue="1">
      <formula>AND(ISNUMBER(O17),O17&gt;=$N14)</formula>
    </cfRule>
  </conditionalFormatting>
  <conditionalFormatting sqref="P15:W15">
    <cfRule type="expression" priority="1170" dxfId="2" stopIfTrue="1">
      <formula>AND(ISNUMBER(O17),O17&gt;=$N14)</formula>
    </cfRule>
  </conditionalFormatting>
  <conditionalFormatting sqref="P16:W16">
    <cfRule type="expression" priority="1171" dxfId="2" stopIfTrue="1">
      <formula>AND(ISNUMBER(O17),O17&gt;=$N14)</formula>
    </cfRule>
    <cfRule type="cellIs" priority="1172" dxfId="1" operator="notBetween" stopIfTrue="1">
      <formula>0</formula>
      <formula>1</formula>
    </cfRule>
  </conditionalFormatting>
  <conditionalFormatting sqref="P17:W17">
    <cfRule type="expression" priority="1173" dxfId="2" stopIfTrue="1">
      <formula>AND(ISNUMBER(O17),O17&gt;=$N14)</formula>
    </cfRule>
    <cfRule type="cellIs" priority="1174" dxfId="1" operator="notBetween" stopIfTrue="1">
      <formula>0</formula>
      <formula>$N14</formula>
    </cfRule>
  </conditionalFormatting>
  <conditionalFormatting sqref="L8">
    <cfRule type="cellIs" priority="1160" dxfId="1" operator="notEqual" stopIfTrue="1">
      <formula>""</formula>
    </cfRule>
  </conditionalFormatting>
  <conditionalFormatting sqref="N9">
    <cfRule type="expression" priority="1159" dxfId="33" stopIfTrue="1">
      <formula>TipoOrçamento&lt;&gt;"REPROGRAMADOAC"</formula>
    </cfRule>
  </conditionalFormatting>
  <conditionalFormatting sqref="L19:M20">
    <cfRule type="expression" priority="1994" dxfId="253" stopIfTrue="1">
      <formula>CFF!#REF!=1</formula>
    </cfRule>
  </conditionalFormatting>
  <conditionalFormatting sqref="P11:W11">
    <cfRule type="expression" priority="314" dxfId="7" stopIfTrue="1">
      <formula>AND(ISNUMBER(O13),O13&gt;=$N11)</formula>
    </cfRule>
    <cfRule type="expression" priority="315" dxfId="6" stopIfTrue="1">
      <formula>$B13=FALSE</formula>
    </cfRule>
    <cfRule type="expression" priority="316" dxfId="257" stopIfTrue="1">
      <formula>$C13=1</formula>
    </cfRule>
  </conditionalFormatting>
  <conditionalFormatting sqref="P19:W19">
    <cfRule type="expression" priority="265" dxfId="4" stopIfTrue="1">
      <formula>AND(ISNUMBER(O20),O20&gt;=$N18)</formula>
    </cfRule>
    <cfRule type="cellIs" priority="266" dxfId="1" operator="notBetween" stopIfTrue="1">
      <formula>0</formula>
      <formula>1</formula>
    </cfRule>
  </conditionalFormatting>
  <conditionalFormatting sqref="P20:W20">
    <cfRule type="expression" priority="267" dxfId="2" stopIfTrue="1">
      <formula>AND(ISNUMBER(O20),O20&gt;=$N18)</formula>
    </cfRule>
    <cfRule type="cellIs" priority="268" dxfId="1" operator="notBetween" stopIfTrue="1">
      <formula>0</formula>
      <formula>$N18</formula>
    </cfRule>
  </conditionalFormatting>
  <conditionalFormatting sqref="O10:W10">
    <cfRule type="expression" priority="237" dxfId="258" stopIfTrue="1">
      <formula>1=1</formula>
    </cfRule>
  </conditionalFormatting>
  <conditionalFormatting sqref="P18:W18">
    <cfRule type="expression" priority="192" dxfId="7" stopIfTrue="1">
      <formula>AND(ISNUMBER(O20),O20&gt;=$N18)</formula>
    </cfRule>
    <cfRule type="expression" priority="193" dxfId="6" stopIfTrue="1">
      <formula>$B20=FALSE</formula>
    </cfRule>
    <cfRule type="expression" priority="194" dxfId="257" stopIfTrue="1">
      <formula>$C20=1</formula>
    </cfRule>
  </conditionalFormatting>
  <conditionalFormatting sqref="AC18">
    <cfRule type="expression" priority="112" dxfId="7" stopIfTrue="1">
      <formula>AND(ISNUMBER(AB20),AB20&gt;=$N18)</formula>
    </cfRule>
    <cfRule type="expression" priority="113" dxfId="6" stopIfTrue="1">
      <formula>$B20=FALSE</formula>
    </cfRule>
    <cfRule type="expression" priority="114" dxfId="257" stopIfTrue="1">
      <formula>$C20=1</formula>
    </cfRule>
  </conditionalFormatting>
  <conditionalFormatting sqref="AC12">
    <cfRule type="expression" priority="127" dxfId="4" stopIfTrue="1">
      <formula>AND(ISNUMBER(AB13),AB13&gt;=$N11)</formula>
    </cfRule>
    <cfRule type="cellIs" priority="128" dxfId="1" operator="notBetween" stopIfTrue="1">
      <formula>0</formula>
      <formula>1</formula>
    </cfRule>
  </conditionalFormatting>
  <conditionalFormatting sqref="AC13">
    <cfRule type="expression" priority="129" dxfId="2" stopIfTrue="1">
      <formula>AND(ISNUMBER(AB13),AB13&gt;=$N11)</formula>
    </cfRule>
    <cfRule type="cellIs" priority="130" dxfId="1" operator="notBetween" stopIfTrue="1">
      <formula>0</formula>
      <formula>$N11</formula>
    </cfRule>
  </conditionalFormatting>
  <conditionalFormatting sqref="AC14">
    <cfRule type="expression" priority="131" dxfId="2" stopIfTrue="1">
      <formula>AND(ISNUMBER(AB17),AB17&gt;=$N14)</formula>
    </cfRule>
  </conditionalFormatting>
  <conditionalFormatting sqref="AC15">
    <cfRule type="expression" priority="132" dxfId="2" stopIfTrue="1">
      <formula>AND(ISNUMBER(AB17),AB17&gt;=$N14)</formula>
    </cfRule>
  </conditionalFormatting>
  <conditionalFormatting sqref="AC16">
    <cfRule type="expression" priority="133" dxfId="2" stopIfTrue="1">
      <formula>AND(ISNUMBER(AB17),AB17&gt;=$N14)</formula>
    </cfRule>
    <cfRule type="cellIs" priority="134" dxfId="1" operator="notBetween" stopIfTrue="1">
      <formula>0</formula>
      <formula>1</formula>
    </cfRule>
  </conditionalFormatting>
  <conditionalFormatting sqref="AC17">
    <cfRule type="expression" priority="135" dxfId="2" stopIfTrue="1">
      <formula>AND(ISNUMBER(AB17),AB17&gt;=$N14)</formula>
    </cfRule>
    <cfRule type="cellIs" priority="136" dxfId="1" operator="notBetween" stopIfTrue="1">
      <formula>0</formula>
      <formula>$N14</formula>
    </cfRule>
  </conditionalFormatting>
  <conditionalFormatting sqref="AC11">
    <cfRule type="expression" priority="124" dxfId="7" stopIfTrue="1">
      <formula>AND(ISNUMBER(AB13),AB13&gt;=$N11)</formula>
    </cfRule>
    <cfRule type="expression" priority="125" dxfId="6" stopIfTrue="1">
      <formula>$B13=FALSE</formula>
    </cfRule>
    <cfRule type="expression" priority="126" dxfId="257" stopIfTrue="1">
      <formula>$C13=1</formula>
    </cfRule>
  </conditionalFormatting>
  <conditionalFormatting sqref="AC19">
    <cfRule type="expression" priority="120" dxfId="4" stopIfTrue="1">
      <formula>AND(ISNUMBER(AB20),AB20&gt;=$N18)</formula>
    </cfRule>
    <cfRule type="cellIs" priority="121" dxfId="1" operator="notBetween" stopIfTrue="1">
      <formula>0</formula>
      <formula>1</formula>
    </cfRule>
  </conditionalFormatting>
  <conditionalFormatting sqref="AC20">
    <cfRule type="expression" priority="122" dxfId="2" stopIfTrue="1">
      <formula>AND(ISNUMBER(AB20),AB20&gt;=$N18)</formula>
    </cfRule>
    <cfRule type="cellIs" priority="123" dxfId="1" operator="notBetween" stopIfTrue="1">
      <formula>0</formula>
      <formula>$N18</formula>
    </cfRule>
  </conditionalFormatting>
  <conditionalFormatting sqref="AC10">
    <cfRule type="expression" priority="115" dxfId="258" stopIfTrue="1">
      <formula>1=1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cp:lastModifiedBy>
  <cp:lastPrinted>2020-03-19T18:49:51Z</cp:lastPrinted>
  <dcterms:created xsi:type="dcterms:W3CDTF">1998-03-27T18:43:07Z</dcterms:created>
  <dcterms:modified xsi:type="dcterms:W3CDTF">2020-05-15T11:29:17Z</dcterms:modified>
  <cp:category/>
  <cp:version/>
  <cp:contentType/>
  <cp:contentStatus/>
</cp:coreProperties>
</file>