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00" activeTab="2"/>
  </bookViews>
  <sheets>
    <sheet name="DADOS" sheetId="1" r:id="rId1"/>
    <sheet name="BDI (1)" sheetId="2" state="hidden" r:id="rId2"/>
    <sheet name="PO" sheetId="3" r:id="rId3"/>
    <sheet name="PLQ" sheetId="4" r:id="rId4"/>
    <sheet name="CFF" sheetId="5" r:id="rId5"/>
  </sheets>
  <definedNames>
    <definedName name="_xlnm.Print_Area" localSheetId="1">'BDI (1)'!$I$1:$R$50</definedName>
    <definedName name="_xlnm.Print_Area" localSheetId="4">'CFF'!$L$1:$X$51</definedName>
    <definedName name="_xlnm.Print_Area" localSheetId="0">'DADOS'!$A$1:$X$87</definedName>
    <definedName name="_xlnm.Print_Area" localSheetId="3">'PLQ'!$B$1:$Z$56</definedName>
    <definedName name="_xlnm.Print_Area" localSheetId="2">'PO'!$K$1:$T$65</definedName>
    <definedName name="DATABASE">TEXT(Import.DataBase,"mm-aaaa")</definedName>
    <definedName name="CFF.ColunaPadrão">'CFF'!$AC:$AC</definedName>
    <definedName name="CFF.Colunas">'CFF'!$P$10:$X$10</definedName>
    <definedName name="CFF.Dados">OFFSET('CFF'!$L$17,1,0):OFFSET('CFF'!$X$45,-1,-1)</definedName>
    <definedName name="CFF.IncluirLinha">MAX('PO'!$V$12:$V$50)*CFF.NumLinha-ROW('CFF'!$F$45)+ROW('CFF'!$F$17)+1</definedName>
    <definedName name="CFF.Item">OFFSET('CFF'!$L$17,1,0):OFFSET('CFF'!$X$45,-1,-1)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OFFSET('PO'!$M$12,1,0):OFFSET('PO'!$M$50,-1,0)</definedName>
    <definedName name="Import.CR">'DADOS'!$A$29</definedName>
    <definedName name="Import.CTEF">'DADOS'!$A$43</definedName>
    <definedName name="Import.CustoUnitário">OFFSET('PO'!$Q$12,1,0):OFFSET('PO'!$Q$50,-1,0)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OFFSET('PO'!$N$12,1,0):OFFSET('PO'!$N$50,-1,0)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OFFSET('PO'!$L$12,1,0):OFFSET('PO'!$L$50,-1,0)</definedName>
    <definedName name="Import.FrenteDeObra">'PLQ'!$F$9:OFFSET('PLQ'!$Z$9,0,-1)</definedName>
    <definedName name="Import.Gestor">'DADOS'!$C$29</definedName>
    <definedName name="Import.IndiceAtual">OFFSET(#REF!,1,0):OFFSET(#REF!,-1,0)</definedName>
    <definedName name="Import.IndiceCot">OFFSET(#REF!,1,0):OFFSET(#REF!,-1,0)</definedName>
    <definedName name="Import.Item">OFFSET('PO'!$K$12,1,0):OFFSET('PO'!$K$50,-1,0)</definedName>
    <definedName name="Import.Localidade">'DADOS'!$K$32</definedName>
    <definedName name="Import.LocalSINAPI">'DADOS'!$D$38</definedName>
    <definedName name="Import.Município">'DADOS'!$G$32</definedName>
    <definedName name="Import.Nível">OFFSET('PO'!$J$12,1,0):OFFSET('PO'!$J$50,-1,0)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OFFSET('PLQ'!$F$12,1,0):OFFSET('PLQ'!$Z$50,-1,-1)</definedName>
    <definedName name="Import.POArred">'PO'!$X$3:$X$7</definedName>
    <definedName name="Import.PreçoTotal">OFFSET('PO'!$T$12,1,0):OFFSET('PO'!$T$50,-1,0)</definedName>
    <definedName name="Import.PreçoUnitário">OFFSET('PO'!$S$12,1,0):OFFSET('PO'!$S$50,-1,0)</definedName>
    <definedName name="Import.Programa">'DADOS'!$F$29</definedName>
    <definedName name="Import.Proponente">'DADOS'!$A$32</definedName>
    <definedName name="Import.Quantidade">OFFSET('PO'!$P$12,1,0):OFFSET('PO'!$P$50,-1,0)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OFFSET('PO'!$O$12,1,0):OFFSET('PO'!$O$50,-1,0)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OFFSET('PO'!$Z$12,1,0):OFFSET('PO'!$Z$50,-1,0)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'PO'!$K$51</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'PLQ'!$AE:$AE</definedName>
    <definedName name="PLQ.Colunas">'PLQ'!$F$10:$Z$10</definedName>
    <definedName name="PLQ.FormulaQuant">'PLQ'!$E$7</definedName>
    <definedName name="PLQ.Item">'PLQ'!$B$9:OFFSET('PLQ'!$B$50,-1,0)</definedName>
    <definedName name="PLQ.LinhaPadrão">'PLQ'!$A$11:$Z$11</definedName>
    <definedName name="PLQ.qtde.frentes">COUNTA('PLQ'!$F$9:$Z$9)</definedName>
    <definedName name="PO.BDI">OFFSET('PO'!$R$12,1,0):OFFSET('PO'!$R$50,-1,0)</definedName>
    <definedName name="PO.CustoRef">OFFSET('PO'!$Y$12,1,0):OFFSET('PO'!$Y$50,-1,0)</definedName>
    <definedName name="PO.CustoUnitario">ROUND('PO'!$Q1,15-13*'PO'!$X$4)</definedName>
    <definedName name="PO.Dados">'PO'!$C$12:OFFSET('PO'!$Z$50,-1,0)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"&amp;DATABASE&amp;".xls]Banco'!$b:$g"),'PO'!linhaSINAPIxls,3),"")</definedName>
    <definedName name="Referencia.Desonerado">IF(ISNUMBER('PO'!linhaSINAPIxls),VALUE(INDEX(INDIRECT("'[Referência "&amp;DATABASE&amp;".xls]Banco'!$b:$g"),'PO'!linhaSINAPIxls,5)),0)</definedName>
    <definedName name="Referencia.NaoDesonerado">IF(ISNUMBER('PO'!linhaSINAPIxls),VALUE(INDEX(INDIRECT("'[Referência "&amp;DATABASE&amp;".xls]Banco'!$b:$g"),'PO'!linhaSINAPIxls,6)),0)</definedName>
    <definedName name="Referencia.Unidade">IF(ISNUMBER('PO'!linhaSINAPIxls),INDEX(INDIRECT("'[Referência "&amp;DATABASE&amp;".xls]Banco'!$b:$g"),'PO'!linhaSINAPIxls,4),"")</definedName>
    <definedName name="SaldoPerc">1-IF(ISNUMBER('CFF'!IV2),'CFF'!IV2,0)</definedName>
    <definedName name="SENHAGT" hidden="1">"quantidades"</definedName>
    <definedName name="SomaAgrup">SUMIF(OFFSET('PO'!$A1,1,0,'PO'!$B1),"S",OFFSET('PO'!A1,1,0,'PO'!$B1))</definedName>
    <definedName name="TipoOrçamento">"LICITADO"</definedName>
    <definedName name="_xlnm.Print_Titles" localSheetId="4">'CFF'!$L:$O,'CFF'!$10:$10</definedName>
    <definedName name="_xlnm.Print_Titles" localSheetId="3">'PLQ'!$B:$E,'PLQ'!$9:$10</definedName>
    <definedName name="_xlnm.Print_Titles" localSheetId="2">'PO'!$10:$10</definedName>
    <definedName name="Versao">'DADOS'!$A$2</definedName>
    <definedName name="VTOTAL1">ROUND(PO.Quantidade*PO.PrecoUnitario,15-13*'PO'!$X$7)</definedName>
  </definedNames>
  <calcPr fullCalcOnLoad="1"/>
</workbook>
</file>

<file path=xl/sharedStrings.xml><?xml version="1.0" encoding="utf-8"?>
<sst xmlns="http://schemas.openxmlformats.org/spreadsheetml/2006/main" count="600" uniqueCount="333">
  <si>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</si>
  <si>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</si>
  <si>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</si>
  <si>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</si>
  <si>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</si>
  <si>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</si>
  <si>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</si>
  <si>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</si>
  <si>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</si>
  <si>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</si>
  <si>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</si>
  <si>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</si>
  <si>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</si>
  <si>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</si>
  <si>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</si>
  <si>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</si>
  <si>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</si>
  <si>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</si>
  <si>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</si>
  <si>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</si>
  <si>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</si>
  <si>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</si>
  <si>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</si>
  <si>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</si>
  <si>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</si>
  <si>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</si>
  <si>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</si>
  <si>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</si>
  <si>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</si>
  <si>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</si>
  <si>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</si>
  <si>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</si>
  <si>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</si>
  <si>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</si>
  <si>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</si>
  <si>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</si>
  <si>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</si>
  <si>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</si>
  <si>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</si>
  <si>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</si>
  <si>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</si>
  <si>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</si>
  <si>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</si>
  <si>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</si>
  <si>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</si>
  <si>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</si>
  <si>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</si>
  <si>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</si>
  <si>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</si>
  <si>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</si>
  <si>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</si>
  <si>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</si>
  <si>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</si>
  <si>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</si>
  <si>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</si>
  <si>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</si>
  <si>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</si>
  <si>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</si>
  <si>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</si>
  <si>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</si>
  <si>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</si>
  <si>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</si>
  <si>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</si>
  <si>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</si>
  <si>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</si>
  <si>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</si>
  <si>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</si>
  <si>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</si>
  <si>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</si>
  <si>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</si>
  <si>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</si>
  <si>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</si>
  <si>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</si>
  <si>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</si>
  <si>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</si>
  <si>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</si>
  <si>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</si>
  <si>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</si>
  <si>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</si>
  <si>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</si>
  <si>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</si>
  <si>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</si>
  <si>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</si>
  <si>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</si>
  <si>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</si>
  <si>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</si>
  <si>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</si>
  <si>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</si>
  <si>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</si>
  <si>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</si>
  <si>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</si>
  <si>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</si>
  <si>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</si>
  <si>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</si>
  <si>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</si>
  <si>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</si>
  <si>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</si>
  <si>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</si>
  <si>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</si>
  <si>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</si>
  <si>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</si>
  <si>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</si>
  <si>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</si>
  <si>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</si>
  <si>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SIM</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</si>
  <si>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</si>
  <si>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</si>
  <si>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</si>
  <si>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</si>
  <si>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</si>
  <si>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</si>
  <si>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</si>
  <si>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</si>
  <si>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</si>
  <si>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</si>
  <si>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</si>
  <si>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</si>
  <si>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</si>
  <si>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</si>
  <si>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</si>
  <si>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</si>
  <si>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</si>
  <si>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</si>
  <si>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</si>
  <si>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</si>
  <si>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</si>
  <si>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</si>
  <si>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</si>
  <si>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</si>
  <si>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</si>
  <si>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</si>
  <si>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</si>
  <si>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</si>
  <si>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</si>
  <si>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</si>
  <si>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</si>
  <si>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</si>
  <si>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</si>
  <si>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</si>
  <si>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</si>
  <si>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</si>
  <si>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</si>
  <si>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</si>
  <si>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</si>
  <si>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</si>
  <si>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</si>
  <si>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</si>
  <si>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</si>
  <si>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</si>
  <si>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</si>
  <si>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</si>
  <si>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</si>
  <si>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</si>
  <si>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</si>
  <si>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</si>
  <si>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</si>
  <si>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</si>
  <si>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</si>
  <si>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</si>
  <si>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</si>
  <si>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</si>
  <si>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</si>
  <si>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</si>
  <si>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</si>
  <si>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</si>
  <si>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</si>
  <si>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</si>
  <si>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</si>
  <si>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</si>
  <si>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</si>
  <si>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</si>
  <si>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</si>
  <si>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</si>
  <si>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</si>
  <si>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</si>
  <si>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</si>
  <si>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</si>
  <si>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</si>
  <si>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</si>
  <si>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</si>
  <si>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</si>
  <si>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</si>
  <si>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</si>
  <si>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</si>
  <si>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</si>
  <si>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</si>
  <si>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</si>
  <si>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</si>
  <si>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</si>
  <si>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</si>
  <si>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</si>
  <si>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</si>
  <si>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</si>
  <si>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</si>
  <si>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</si>
  <si>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</si>
  <si>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</si>
  <si>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</si>
  <si>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</si>
  <si>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</si>
  <si>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</si>
  <si>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</si>
  <si>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</si>
  <si>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</si>
  <si>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</si>
  <si>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</si>
  <si>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</si>
  <si>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</si>
  <si>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</si>
  <si>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</si>
  <si>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</si>
  <si>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</si>
  <si>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</si>
  <si>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</si>
  <si>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</si>
  <si>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</si>
  <si>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</si>
  <si>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</si>
  <si>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</si>
  <si>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</si>
  <si>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</si>
  <si>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</si>
  <si>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</si>
  <si>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</si>
  <si>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</si>
  <si>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</si>
  <si>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</si>
  <si>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</si>
  <si>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</si>
  <si>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</si>
  <si>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NAVIRAÍ - MS</t>
  </si>
  <si>
    <t>SINAPI</t>
  </si>
  <si>
    <t>SERVIÇOS PRELIMINARES</t>
  </si>
  <si>
    <t>ÚNICO</t>
  </si>
  <si>
    <t>PREFEITO MUNICIPAL</t>
  </si>
  <si>
    <t>JOSÉ IZAURÍ DE MACEDO</t>
  </si>
  <si>
    <t>SINAPI-I</t>
  </si>
  <si>
    <t xml:space="preserve">CENTRO </t>
  </si>
  <si>
    <t>93584</t>
  </si>
  <si>
    <t>83356</t>
  </si>
  <si>
    <t>OUTROS</t>
  </si>
  <si>
    <t>Não</t>
  </si>
  <si>
    <t>PMN-CP</t>
  </si>
  <si>
    <t>AV MIGUEL SOTANI</t>
  </si>
  <si>
    <t>4813</t>
  </si>
  <si>
    <t>PASSAGEM PARA PEDESTRES NOS CANTEIROS</t>
  </si>
  <si>
    <t>SINALIZAÇÃO DE TRANSITO VERTICAL E HORIZONTAL</t>
  </si>
  <si>
    <t>012</t>
  </si>
  <si>
    <t>013</t>
  </si>
  <si>
    <t>94263</t>
  </si>
  <si>
    <t>017</t>
  </si>
  <si>
    <t>018</t>
  </si>
  <si>
    <t>001</t>
  </si>
  <si>
    <t>007</t>
  </si>
  <si>
    <t>CICLOVIA PRÉVIA (GUIA E GRAMA)</t>
  </si>
  <si>
    <t>AVENIDA BRASIL</t>
  </si>
  <si>
    <t>020</t>
  </si>
  <si>
    <t>021</t>
  </si>
  <si>
    <t>AV. JATEÍ</t>
  </si>
  <si>
    <t>AV. ANTÔNIO FIGUEIRA</t>
  </si>
  <si>
    <t>AV. FÁTIMA DO SUL</t>
  </si>
  <si>
    <t>COTAÇÃO</t>
  </si>
  <si>
    <t>C010</t>
  </si>
  <si>
    <t>94991</t>
  </si>
  <si>
    <t>72947</t>
  </si>
  <si>
    <t>REVITALIZAÇÃO NOS CANTEIROS</t>
  </si>
  <si>
    <t>CANTEIROS-ABERTURA/ ESTACIONAMENTO/ PAISAGISMO/CICLOVIA</t>
  </si>
  <si>
    <t>AV. DOURADOS</t>
  </si>
  <si>
    <t>AV. IGUATEMI</t>
  </si>
  <si>
    <t>AV. WEIMAR G. TORRES</t>
  </si>
  <si>
    <t>AV. GLÓRIA DE DOURADOS</t>
  </si>
  <si>
    <t>027</t>
  </si>
  <si>
    <t>AV. MATA ATLANTICA</t>
  </si>
  <si>
    <t>ABERTURAS DE CANTEIROS</t>
  </si>
  <si>
    <t>022</t>
  </si>
  <si>
    <t>026</t>
  </si>
  <si>
    <t>AV. ARTEMIO PAGANOTTI</t>
  </si>
  <si>
    <t>AV AMÉLIA FUKUDA</t>
  </si>
  <si>
    <t>RUA MATO GROSSO</t>
  </si>
  <si>
    <t>028</t>
  </si>
  <si>
    <t>030</t>
  </si>
  <si>
    <t>031</t>
  </si>
  <si>
    <t>ESTACIONAMENTO E AREA DE MANOBRA</t>
  </si>
  <si>
    <t>REVITALIZAÇÃO DOS CANTEIROS</t>
  </si>
  <si>
    <t>87453</t>
  </si>
  <si>
    <t>3322</t>
  </si>
  <si>
    <t>97636</t>
  </si>
  <si>
    <t>RAMPA EM CALÇADAS</t>
  </si>
  <si>
    <t>003</t>
  </si>
  <si>
    <t>004</t>
  </si>
  <si>
    <t>94264</t>
  </si>
  <si>
    <t>94293</t>
  </si>
  <si>
    <t>73856/3</t>
  </si>
  <si>
    <t>AV. NOVA ANDRADINA</t>
  </si>
  <si>
    <t>AV. JOÃO PAULO II</t>
  </si>
  <si>
    <t>AV. CAMPO GRANDE</t>
  </si>
  <si>
    <t>AV.  RODEO DRIVER</t>
  </si>
  <si>
    <t>PLACA DE OBRA (PARA CONSTRUCAO CIVIL) EM CHAPA GALVANIZADA *N. 22*, ADESIVADA, DE *2,0 X 1,125* M</t>
  </si>
  <si>
    <t>EXECUÇÃO DE DEPÓSITO EM CANTEIRO DE OBRA EM CHAPA DE MADEIRA COMPENSADA, NÃO INCLUSO MOBILIÁRIO. AF_04/2016</t>
  </si>
  <si>
    <t>GUIA (MEIO-FIO) CONCRETO, MOLDADA  IN LOCO  EM TRECHO RETO COM EXTRUSORA, 13 CM BASE X 22 CM ALTURA. AF_06/2016</t>
  </si>
  <si>
    <t>ALVENARIA DE VEDAÇÃO DE BLOCOS VAZADOS DE CONCRETO DE 9X19X39CM (ESPESSURA 9CM) DE PAREDES COM ÁREA LÍQUIDA MAIOR OU IGUAL A 6M² SEM VÃOS E ARGAMASSA DE ASSENTAMENTO COM PREPARO EM BETONEIRA. AF_06/2014</t>
  </si>
  <si>
    <t>EXECUÇÃO DE ESTACIONAMENTO 30° COM 3 VAGAS, PISO EM CONCREGRAMA COM GUIA DE CONTENÇÃO (VAGA 2,30 X 4,70 M)</t>
  </si>
  <si>
    <t>EXECUÇÃO DE ESTACIONAMENTO 30°, SOMENTE VAGA EXTRA (INTERNA) , EM  PISO EM CONCREGRAMA COM GUIA DE CONTENÇÃO (VAGA 2,30 X 4,70 M)</t>
  </si>
  <si>
    <t>EXECUÇÃO DE ESTACIONAMENTO PARALELO A VIA COM 2 VAGAS, PISO EM CONCREGRAMA COM GUIA DE CONTENÇÃO (VAGA 2,40 X 5,50M)</t>
  </si>
  <si>
    <t>EXECUÇÃO DE ESTACIONAMENTO PARALELO A VIA, SOMENTE VAGA EXTRA (INTERNA) , EM  PISO EM CONCREGRAMA COM GUIA DE CONTENÇÃO (VAGA 2,40 X 5,50 M)</t>
  </si>
  <si>
    <t>ÁREA PARA MANOBRAS  EM PISO INTERTRAVADO 10CM</t>
  </si>
  <si>
    <t>PASSAGEM PARA PEDESTRE NOS CANTEIROS (EXTREMIDADES)</t>
  </si>
  <si>
    <t>PASSAGEM PARA PEDESTRE NOS CANTEIROS (INTERIOR)</t>
  </si>
  <si>
    <t>PASSAGEM CÔNCAVAS PARA PEDESTRE NOS CANTEIROS (EXTREMIDADES)</t>
  </si>
  <si>
    <t>PLACA DE TRANSITO COM POSTE EM MADEIRA</t>
  </si>
  <si>
    <t>FAIXA DE PEDESTRE LARGURA DE 2,50 M</t>
  </si>
  <si>
    <t>ABERTURA DE CANTEIRO 8 M EM PISO INTERTRAVADO (7,00 m largura de canteiro)</t>
  </si>
  <si>
    <t>ABERTURA DE CANTEIRO PROVISÓRIA COM MÃO ÚNICA (até 7,50 m largura de canteiro)</t>
  </si>
  <si>
    <t>RETORNO SIMPLES COM FAIXA ADICIONAL MÃO UNICA( largura de 3,0 m)</t>
  </si>
  <si>
    <t>RETORNO  COM FAIXA ADICIONAL MÃO UNICA( largura de 4,0 m)</t>
  </si>
  <si>
    <t>RAMPADE CONCRETO SIMPLES 180X160 CM COM PISO TATIL</t>
  </si>
  <si>
    <t>RAMPADE CONCRETO DE ESQUINA 180X160 CM COM PISO TATIL</t>
  </si>
  <si>
    <t>TACHA REFLEXIVA</t>
  </si>
  <si>
    <t>EXECUÇÃO DE PASSEIO (CALÇADA) OU PISO DE CONCRETO COM CONCRETO MOLDADO IN LOCO, USINADO, ACABAMENTO CONVENCIONAL, NÃO ARMADO. AF_07/2016</t>
  </si>
  <si>
    <t>SINALIZACAO HORIZONTAL COM TINTA RETRORREFLETIVA A BASE DE RESINA ACRILICA COM MICROESFERAS DE VIDRO</t>
  </si>
  <si>
    <t>GRAMA ESMERALDA OU SAO CARLOS OU CURITIBANA, EM PLACAS, SEM PLANTIO</t>
  </si>
  <si>
    <t>DEMOLIÇÃO PARCIAL DE PAVIMENTO ASFÁLTICO, DE FORMA MECANIZADA, SEM REAPROVEITAMENTO. AF_12/2017</t>
  </si>
  <si>
    <t>GUIA (MEIO-FIO) CONCRETO, MOLDADA  IN LOCO  EM TRECHO CURVO COM EXTRUSORA, 13 CM BASE X 22 CM ALTURA. AF_06/2016</t>
  </si>
  <si>
    <t>EXECUÇÃO DE SARJETÃO DE CONCRETO USINADO, MOLDADA  IN LOCO  EM TRECHO RETO, 100 CM BASE X 20 CM ALTURA. AF_06/2016</t>
  </si>
  <si>
    <t>BOCA PARA BUEIRO SIMPLES TUBULAR, DIAMETRO =0,80M, EM CONCRETO CICLOPICO, INCLUINDO FORMAS, ESCAVACAO, REATERRO E MATERIAIS, EXCLUINDO MATERIAL REATERRO JAZIDA E TRANSPORTE.</t>
  </si>
  <si>
    <t xml:space="preserve">M2    </t>
  </si>
  <si>
    <t>M2</t>
  </si>
  <si>
    <t>M</t>
  </si>
  <si>
    <t>M3XKM</t>
  </si>
  <si>
    <t>U N</t>
  </si>
  <si>
    <t xml:space="preserve">U N </t>
  </si>
  <si>
    <t>M3</t>
  </si>
  <si>
    <t>UN</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</si>
</sst>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47">
    <font>
      <sz val="10"/>
      <name val="Arial"/>
      <family val="0"/>
    </font>
    <font>
      <sz val="11"/>
      <color indexed="8"/>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9"/>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style="thin"/>
      <bottom style="thin"/>
    </border>
    <border>
      <left style="hair"/>
      <right style="thin"/>
      <top style="hair"/>
      <bottom style="hair"/>
    </border>
    <border>
      <left style="thin"/>
      <right/>
      <top style="thin"/>
      <bottom/>
    </border>
    <border>
      <left style="thin"/>
      <right style="hair"/>
      <top style="thin"/>
      <bottom style="thin"/>
    </border>
    <border>
      <left style="thin"/>
      <right/>
      <top style="hair"/>
      <bottom style="hair"/>
    </border>
    <border>
      <left style="hair"/>
      <right style="hair"/>
      <top style="hair"/>
      <bottom style="hair"/>
    </border>
    <border>
      <left style="hair"/>
      <right style="hair"/>
      <top style="thin"/>
      <bottom style="thin"/>
    </border>
    <border>
      <left style="hair"/>
      <right style="hair"/>
      <top/>
      <bottom/>
    </border>
    <border>
      <left style="thin"/>
      <right style="thin"/>
      <top style="hair"/>
      <bottom style="hair"/>
    </border>
    <border>
      <left style="thin"/>
      <right style="thin"/>
      <top style="hair"/>
      <bottom/>
    </border>
    <border>
      <left style="hair"/>
      <right style="thin"/>
      <top style="thin"/>
      <bottom style="thin"/>
    </border>
    <border>
      <left style="thin"/>
      <right style="thin"/>
      <top style="thin"/>
      <bottom/>
    </border>
    <border>
      <left style="thin"/>
      <right style="hair"/>
      <top style="hair"/>
      <bottom style="hair"/>
    </border>
    <border>
      <left style="thin"/>
      <right/>
      <top style="thin"/>
      <bottom style="thin"/>
    </border>
    <border>
      <left style="thin"/>
      <right style="thin"/>
      <top/>
      <bottom style="hair"/>
    </border>
    <border>
      <left style="hair"/>
      <right style="hair"/>
      <top style="hair"/>
      <bottom/>
    </border>
    <border>
      <left/>
      <right/>
      <top style="hair"/>
      <bottom/>
    </border>
    <border>
      <left style="thin"/>
      <right/>
      <top style="hair"/>
      <bottom/>
    </border>
    <border>
      <left/>
      <right style="thin"/>
      <top style="hair"/>
      <bottom/>
    </border>
    <border>
      <left/>
      <right style="thin"/>
      <top/>
      <bottom style="thin"/>
    </border>
    <border>
      <left/>
      <right style="thin"/>
      <top style="thin"/>
      <bottom/>
    </border>
    <border>
      <left style="medium"/>
      <right/>
      <top/>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7" borderId="1" applyNumberFormat="0" applyAlignment="0" applyProtection="0"/>
    <xf numFmtId="0" fontId="1" fillId="0" borderId="0">
      <alignment/>
      <protection/>
    </xf>
    <xf numFmtId="0" fontId="13" fillId="0" borderId="0" applyNumberFormat="0" applyFill="0" applyBorder="0" applyAlignment="0" applyProtection="0"/>
    <xf numFmtId="0" fontId="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169"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11" fillId="20" borderId="8" applyNumberFormat="0" applyAlignment="0" applyProtection="0"/>
    <xf numFmtId="41"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64" fontId="0" fillId="0" borderId="0" applyFont="0" applyFill="0" applyBorder="0" applyAlignment="0" applyProtection="0"/>
    <xf numFmtId="43" fontId="0" fillId="0" borderId="0" applyFont="0" applyFill="0" applyBorder="0" applyAlignment="0" applyProtection="0"/>
    <xf numFmtId="0" fontId="12" fillId="0" borderId="0" applyNumberFormat="0" applyFill="0" applyBorder="0" applyAlignment="0" applyProtection="0"/>
  </cellStyleXfs>
  <cellXfs count="400">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Alignment="1">
      <alignment/>
    </xf>
    <xf numFmtId="0" fontId="19" fillId="0" borderId="0" xfId="0" applyFont="1" applyAlignment="1">
      <alignment/>
    </xf>
    <xf numFmtId="0" fontId="2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21" fillId="24" borderId="10" xfId="0" applyNumberFormat="1" applyFont="1" applyFill="1" applyBorder="1" applyAlignment="1" applyProtection="1">
      <alignment horizontal="center" vertical="center"/>
      <protection/>
    </xf>
    <xf numFmtId="164" fontId="21" fillId="24" borderId="10" xfId="106" applyNumberFormat="1" applyFont="1" applyFill="1" applyBorder="1" applyAlignment="1" applyProtection="1">
      <alignment horizontal="center" vertical="center"/>
      <protection/>
    </xf>
    <xf numFmtId="10" fontId="21" fillId="24" borderId="10" xfId="94" applyNumberFormat="1" applyFont="1" applyFill="1" applyBorder="1" applyAlignment="1" applyProtection="1">
      <alignment horizontal="center" vertical="center"/>
      <protection/>
    </xf>
    <xf numFmtId="0" fontId="22" fillId="0" borderId="0" xfId="0" applyFont="1" applyAlignment="1">
      <alignment/>
    </xf>
    <xf numFmtId="0" fontId="0" fillId="0" borderId="0" xfId="0" applyFont="1" applyAlignment="1">
      <alignment horizontal="left"/>
    </xf>
    <xf numFmtId="0" fontId="0" fillId="0" borderId="0" xfId="0" applyFont="1" applyAlignment="1">
      <alignment horizontal="center" vertical="center"/>
    </xf>
    <xf numFmtId="164" fontId="0" fillId="0" borderId="0" xfId="106" applyFont="1" applyAlignment="1">
      <alignment/>
    </xf>
    <xf numFmtId="0" fontId="25" fillId="0" borderId="0" xfId="0" applyFont="1" applyAlignment="1">
      <alignment vertical="center"/>
    </xf>
    <xf numFmtId="0" fontId="0" fillId="0" borderId="0" xfId="0" applyFont="1" applyBorder="1" applyAlignment="1" applyProtection="1">
      <alignment horizontal="right"/>
      <protection/>
    </xf>
    <xf numFmtId="0" fontId="21" fillId="0" borderId="0" xfId="0" applyFont="1" applyBorder="1" applyAlignment="1" applyProtection="1">
      <alignment horizontal="right"/>
      <protection/>
    </xf>
    <xf numFmtId="0" fontId="0" fillId="0" borderId="0" xfId="0" applyFont="1" applyBorder="1" applyAlignment="1">
      <alignment/>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21" fillId="0" borderId="11" xfId="90" applyFont="1" applyBorder="1" applyAlignment="1" applyProtection="1">
      <alignment horizontal="left" vertical="top"/>
      <protection/>
    </xf>
    <xf numFmtId="0" fontId="21" fillId="0" borderId="0" xfId="90" applyFont="1" applyBorder="1" applyAlignment="1" applyProtection="1">
      <alignment horizontal="left" vertical="top"/>
      <protection/>
    </xf>
    <xf numFmtId="0" fontId="21" fillId="0" borderId="12" xfId="90" applyFont="1" applyBorder="1" applyAlignment="1" applyProtection="1">
      <alignment horizontal="left" vertical="top"/>
      <protection/>
    </xf>
    <xf numFmtId="10" fontId="0" fillId="0" borderId="0" xfId="94" applyNumberFormat="1" applyFont="1" applyBorder="1" applyAlignment="1" applyProtection="1">
      <alignment horizontal="left"/>
      <protection/>
    </xf>
    <xf numFmtId="0" fontId="0" fillId="0" borderId="0" xfId="0" applyAlignment="1" applyProtection="1">
      <alignment horizontal="left" indent="2"/>
      <protection/>
    </xf>
    <xf numFmtId="14" fontId="26" fillId="0" borderId="0" xfId="0" applyNumberFormat="1" applyFont="1" applyFill="1" applyBorder="1" applyAlignment="1" applyProtection="1">
      <alignment vertical="top" wrapText="1"/>
      <protection/>
    </xf>
    <xf numFmtId="0" fontId="27" fillId="0" borderId="0" xfId="0" applyFont="1" applyFill="1" applyAlignment="1" applyProtection="1">
      <alignment horizontal="center"/>
      <protection/>
    </xf>
    <xf numFmtId="0" fontId="27" fillId="0" borderId="0" xfId="0" applyFont="1" applyFill="1" applyAlignment="1" applyProtection="1">
      <alignment/>
      <protection/>
    </xf>
    <xf numFmtId="0" fontId="20" fillId="0" borderId="0" xfId="0" applyFont="1" applyAlignment="1">
      <alignment horizontal="left"/>
    </xf>
    <xf numFmtId="166" fontId="0" fillId="0" borderId="0" xfId="106" applyNumberFormat="1" applyFont="1" applyFill="1" applyBorder="1" applyAlignment="1" applyProtection="1">
      <alignment/>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Alignment="1" applyProtection="1">
      <alignment/>
      <protection/>
    </xf>
    <xf numFmtId="0" fontId="0" fillId="0" borderId="0" xfId="0" applyAlignment="1" applyProtection="1">
      <alignment/>
      <protection hidden="1"/>
    </xf>
    <xf numFmtId="0" fontId="0" fillId="0" borderId="0" xfId="0" applyFont="1" applyAlignment="1" applyProtection="1">
      <alignment/>
      <protection hidden="1"/>
    </xf>
    <xf numFmtId="0" fontId="21" fillId="0" borderId="0" xfId="0" applyFont="1" applyFill="1" applyBorder="1" applyAlignment="1" applyProtection="1">
      <alignment wrapText="1"/>
      <protection hidden="1"/>
    </xf>
    <xf numFmtId="0" fontId="2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0" fillId="0" borderId="0" xfId="88" applyFont="1" applyProtection="1">
      <alignment/>
      <protection/>
    </xf>
    <xf numFmtId="0" fontId="21" fillId="0" borderId="0" xfId="88" applyFont="1" applyAlignment="1" applyProtection="1">
      <alignment horizontal="center"/>
      <protection/>
    </xf>
    <xf numFmtId="0" fontId="21" fillId="0" borderId="14" xfId="88" applyFont="1" applyBorder="1" applyAlignment="1" applyProtection="1">
      <alignment horizontal="center"/>
      <protection/>
    </xf>
    <xf numFmtId="10" fontId="29" fillId="0" borderId="14" xfId="88" applyNumberFormat="1" applyFont="1" applyFill="1" applyBorder="1" applyAlignment="1" applyProtection="1">
      <alignment horizontal="center"/>
      <protection/>
    </xf>
    <xf numFmtId="0" fontId="20" fillId="0" borderId="0" xfId="88" applyFont="1" applyAlignment="1" applyProtection="1">
      <alignment horizontal="center"/>
      <protection/>
    </xf>
    <xf numFmtId="0" fontId="30" fillId="0" borderId="0" xfId="88" applyFont="1" applyAlignment="1" applyProtection="1">
      <alignment/>
      <protection/>
    </xf>
    <xf numFmtId="0" fontId="21" fillId="0" borderId="0" xfId="88" applyFont="1" applyProtection="1">
      <alignment/>
      <protection/>
    </xf>
    <xf numFmtId="0" fontId="21" fillId="0" borderId="14" xfId="88" applyFont="1" applyFill="1" applyBorder="1" applyAlignment="1" applyProtection="1">
      <alignment horizontal="center" vertical="center" wrapText="1"/>
      <protection/>
    </xf>
    <xf numFmtId="0" fontId="28" fillId="0" borderId="14" xfId="88" applyFont="1" applyBorder="1" applyAlignment="1" applyProtection="1">
      <alignment horizontal="center" vertical="center"/>
      <protection/>
    </xf>
    <xf numFmtId="10" fontId="28" fillId="22" borderId="14" xfId="88" applyNumberFormat="1" applyFont="1" applyFill="1" applyBorder="1" applyAlignment="1" applyProtection="1">
      <alignment horizontal="center" vertical="center"/>
      <protection locked="0"/>
    </xf>
    <xf numFmtId="4" fontId="24" fillId="0" borderId="14" xfId="88" applyNumberFormat="1" applyFont="1" applyFill="1" applyBorder="1" applyAlignment="1" applyProtection="1">
      <alignment horizontal="center" vertical="center"/>
      <protection/>
    </xf>
    <xf numFmtId="10" fontId="28" fillId="0" borderId="14" xfId="88" applyNumberFormat="1" applyFont="1" applyFill="1" applyBorder="1" applyAlignment="1" applyProtection="1">
      <alignment horizontal="center" vertical="center"/>
      <protection/>
    </xf>
    <xf numFmtId="10" fontId="28" fillId="0" borderId="14" xfId="88" applyNumberFormat="1" applyFont="1" applyFill="1" applyBorder="1" applyAlignment="1" applyProtection="1">
      <alignment horizontal="center" vertical="center" wrapText="1"/>
      <protection/>
    </xf>
    <xf numFmtId="0" fontId="28" fillId="0" borderId="14" xfId="88" applyFont="1" applyFill="1" applyBorder="1" applyAlignment="1" applyProtection="1">
      <alignment horizontal="center" vertical="center" wrapText="1"/>
      <protection/>
    </xf>
    <xf numFmtId="0" fontId="36" fillId="0" borderId="0" xfId="88" applyFont="1" applyFill="1" applyBorder="1" applyAlignment="1" applyProtection="1">
      <alignment horizontal="center" vertical="center" wrapText="1"/>
      <protection/>
    </xf>
    <xf numFmtId="10" fontId="36" fillId="0" borderId="0" xfId="88" applyNumberFormat="1" applyFont="1" applyFill="1" applyBorder="1" applyAlignment="1" applyProtection="1">
      <alignment horizontal="center" vertical="center"/>
      <protection/>
    </xf>
    <xf numFmtId="170" fontId="0" fillId="0" borderId="0" xfId="88" applyNumberFormat="1" applyFont="1" applyAlignment="1" applyProtection="1">
      <alignment/>
      <protection/>
    </xf>
    <xf numFmtId="0" fontId="28" fillId="0" borderId="0" xfId="88" applyFont="1" applyBorder="1" applyProtection="1">
      <alignment/>
      <protection/>
    </xf>
    <xf numFmtId="0" fontId="0" fillId="0" borderId="0" xfId="88" applyFont="1" applyBorder="1" applyProtection="1">
      <alignment/>
      <protection/>
    </xf>
    <xf numFmtId="0" fontId="28" fillId="0" borderId="0" xfId="88" applyFont="1" applyProtection="1">
      <alignment/>
      <protection/>
    </xf>
    <xf numFmtId="0" fontId="28" fillId="0" borderId="0" xfId="88" applyFont="1" applyAlignment="1" applyProtection="1">
      <alignment vertical="top"/>
      <protection/>
    </xf>
    <xf numFmtId="0" fontId="32" fillId="0" borderId="0" xfId="88" applyFont="1" applyBorder="1" applyAlignment="1" applyProtection="1">
      <alignment horizontal="center" vertical="top"/>
      <protection/>
    </xf>
    <xf numFmtId="0" fontId="21" fillId="0" borderId="14" xfId="0" applyFont="1" applyBorder="1" applyAlignment="1" applyProtection="1">
      <alignment horizontal="center" vertical="center" wrapText="1"/>
      <protection/>
    </xf>
    <xf numFmtId="0" fontId="21" fillId="0" borderId="14" xfId="0" applyFont="1" applyBorder="1" applyAlignment="1" applyProtection="1">
      <alignment horizontal="center" vertical="center"/>
      <protection/>
    </xf>
    <xf numFmtId="0" fontId="2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21" fillId="0" borderId="16" xfId="0" applyFont="1" applyBorder="1" applyAlignment="1" applyProtection="1">
      <alignment horizontal="center"/>
      <protection/>
    </xf>
    <xf numFmtId="0" fontId="0" fillId="0" borderId="0" xfId="0" applyFont="1" applyFill="1" applyAlignment="1">
      <alignment/>
    </xf>
    <xf numFmtId="0" fontId="34" fillId="0" borderId="0" xfId="0" applyFont="1" applyFill="1" applyAlignment="1">
      <alignment vertical="center"/>
    </xf>
    <xf numFmtId="0" fontId="0" fillId="0" borderId="0" xfId="0" applyFont="1" applyFill="1" applyAlignment="1">
      <alignment horizontal="center" vertical="top"/>
    </xf>
    <xf numFmtId="0" fontId="0" fillId="0" borderId="0" xfId="0" applyFont="1" applyAlignment="1" applyProtection="1">
      <alignment/>
      <protection/>
    </xf>
    <xf numFmtId="0" fontId="0" fillId="0" borderId="17" xfId="0" applyFont="1" applyBorder="1" applyAlignment="1">
      <alignment/>
    </xf>
    <xf numFmtId="0" fontId="28" fillId="0" borderId="0" xfId="0" applyFont="1" applyAlignment="1">
      <alignment/>
    </xf>
    <xf numFmtId="0" fontId="20" fillId="0" borderId="0" xfId="0" applyFont="1" applyAlignment="1">
      <alignment horizontal="right"/>
    </xf>
    <xf numFmtId="0" fontId="21" fillId="22" borderId="0" xfId="0" applyFont="1" applyFill="1" applyAlignment="1" applyProtection="1">
      <alignment/>
      <protection locked="0"/>
    </xf>
    <xf numFmtId="0" fontId="2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applyAlignment="1">
      <alignment/>
    </xf>
    <xf numFmtId="0" fontId="28"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21" fillId="0" borderId="11" xfId="90" applyFont="1" applyBorder="1" applyAlignment="1" applyProtection="1">
      <alignment vertical="top"/>
      <protection/>
    </xf>
    <xf numFmtId="0" fontId="21" fillId="0" borderId="15" xfId="90" applyFont="1" applyBorder="1" applyAlignment="1" applyProtection="1">
      <alignment horizontal="center" vertical="top"/>
      <protection/>
    </xf>
    <xf numFmtId="0" fontId="0" fillId="0" borderId="0" xfId="0" applyFont="1" applyAlignment="1" applyProtection="1">
      <alignment/>
      <protection/>
    </xf>
    <xf numFmtId="10" fontId="0" fillId="22" borderId="16" xfId="94" applyNumberFormat="1" applyFont="1" applyFill="1" applyBorder="1" applyAlignment="1" applyProtection="1">
      <alignment horizontal="center" vertical="top" wrapText="1"/>
      <protection/>
    </xf>
    <xf numFmtId="10" fontId="0" fillId="0" borderId="16" xfId="94" applyNumberFormat="1" applyFont="1" applyFill="1" applyBorder="1" applyAlignment="1" applyProtection="1">
      <alignment horizontal="center" vertical="top" wrapText="1"/>
      <protection/>
    </xf>
    <xf numFmtId="164" fontId="21" fillId="24" borderId="19" xfId="106" applyNumberFormat="1" applyFont="1" applyFill="1" applyBorder="1" applyAlignment="1" applyProtection="1">
      <alignment horizontal="center" vertical="center" shrinkToFit="1"/>
      <protection/>
    </xf>
    <xf numFmtId="164" fontId="0" fillId="0" borderId="20" xfId="106" applyNumberFormat="1" applyFont="1" applyFill="1" applyBorder="1" applyAlignment="1">
      <alignment horizontal="center" vertical="center" shrinkToFit="1"/>
    </xf>
    <xf numFmtId="0" fontId="20" fillId="0" borderId="0" xfId="0" applyFont="1" applyAlignment="1">
      <alignment horizontal="left" vertical="center"/>
    </xf>
    <xf numFmtId="0" fontId="0" fillId="0" borderId="0" xfId="88" applyFont="1" applyBorder="1" applyAlignment="1" applyProtection="1">
      <alignment horizontal="center" vertical="top"/>
      <protection/>
    </xf>
    <xf numFmtId="0" fontId="35" fillId="0" borderId="0" xfId="90" applyFont="1" applyBorder="1" applyAlignment="1" applyProtection="1">
      <alignment horizontal="left" vertical="top"/>
      <protection/>
    </xf>
    <xf numFmtId="0" fontId="33"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4"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4" fillId="0" borderId="14" xfId="88" applyNumberFormat="1" applyFont="1" applyFill="1" applyBorder="1" applyAlignment="1" applyProtection="1">
      <alignment horizontal="center" vertical="center" wrapText="1"/>
      <protection/>
    </xf>
    <xf numFmtId="0" fontId="42" fillId="0" borderId="0" xfId="88" applyFont="1" applyAlignment="1" applyProtection="1">
      <alignment wrapText="1"/>
      <protection/>
    </xf>
    <xf numFmtId="0" fontId="43" fillId="0" borderId="0" xfId="88" applyFont="1" applyAlignment="1" applyProtection="1">
      <alignment vertical="top" wrapText="1"/>
      <protection/>
    </xf>
    <xf numFmtId="0" fontId="40" fillId="0" borderId="14" xfId="88" applyFont="1" applyBorder="1" applyAlignment="1" applyProtection="1">
      <alignment horizontal="center" vertical="center"/>
      <protection/>
    </xf>
    <xf numFmtId="4" fontId="24" fillId="0" borderId="0" xfId="88" applyNumberFormat="1" applyFont="1" applyFill="1" applyBorder="1" applyAlignment="1" applyProtection="1">
      <alignment horizontal="center" vertical="center" wrapText="1"/>
      <protection/>
    </xf>
    <xf numFmtId="0" fontId="0" fillId="0" borderId="0" xfId="88" applyFont="1" applyProtection="1">
      <alignment/>
      <protection locked="0"/>
    </xf>
    <xf numFmtId="0" fontId="21" fillId="0" borderId="0" xfId="0" applyFont="1" applyAlignment="1">
      <alignment/>
    </xf>
    <xf numFmtId="0" fontId="21" fillId="0" borderId="0" xfId="0" applyFont="1" applyAlignment="1">
      <alignment horizontal="left"/>
    </xf>
    <xf numFmtId="0" fontId="0" fillId="0" borderId="0" xfId="0" applyAlignment="1" applyProtection="1">
      <alignment horizontal="center"/>
      <protection/>
    </xf>
    <xf numFmtId="0" fontId="21" fillId="0" borderId="22" xfId="0" applyFont="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Border="1" applyAlignment="1">
      <alignment/>
    </xf>
    <xf numFmtId="0" fontId="0" fillId="0" borderId="0" xfId="0" applyFont="1" applyFill="1" applyBorder="1" applyAlignment="1">
      <alignment/>
    </xf>
    <xf numFmtId="0" fontId="22" fillId="0" borderId="16" xfId="0" applyFont="1" applyBorder="1" applyAlignment="1">
      <alignment horizontal="center"/>
    </xf>
    <xf numFmtId="0" fontId="2" fillId="22" borderId="23" xfId="0" applyNumberFormat="1" applyFont="1" applyFill="1" applyBorder="1" applyAlignment="1" applyProtection="1">
      <alignment vertical="center" wrapText="1"/>
      <protection locked="0"/>
    </xf>
    <xf numFmtId="164"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21" fillId="0" borderId="15" xfId="0" applyFont="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5" fillId="0" borderId="26" xfId="0" applyFont="1" applyBorder="1" applyAlignment="1">
      <alignment horizontal="center" vertical="center"/>
    </xf>
    <xf numFmtId="0" fontId="2"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21" fillId="24" borderId="10" xfId="106" applyNumberFormat="1" applyFont="1" applyFill="1" applyBorder="1" applyAlignment="1" applyProtection="1">
      <alignment horizontal="center" vertical="center"/>
      <protection/>
    </xf>
    <xf numFmtId="0" fontId="21" fillId="0" borderId="11" xfId="90" applyFont="1" applyFill="1" applyBorder="1" applyAlignment="1" applyProtection="1">
      <alignment horizontal="left" vertical="top"/>
      <protection/>
    </xf>
    <xf numFmtId="0" fontId="21" fillId="0" borderId="11" xfId="90" applyFont="1" applyFill="1" applyBorder="1" applyAlignment="1" applyProtection="1">
      <alignment vertical="top"/>
      <protection/>
    </xf>
    <xf numFmtId="0" fontId="21" fillId="0" borderId="15" xfId="90"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4" applyNumberFormat="1" applyFont="1" applyFill="1" applyBorder="1" applyAlignment="1" applyProtection="1">
      <alignment horizontal="center" vertical="top" wrapText="1"/>
      <protection/>
    </xf>
    <xf numFmtId="10" fontId="0" fillId="0" borderId="18" xfId="94" applyNumberFormat="1" applyFont="1" applyFill="1" applyBorder="1" applyAlignment="1" applyProtection="1">
      <alignment horizontal="left" vertical="top" wrapText="1"/>
      <protection/>
    </xf>
    <xf numFmtId="0" fontId="21" fillId="0" borderId="17" xfId="0" applyFont="1" applyBorder="1" applyAlignment="1">
      <alignment/>
    </xf>
    <xf numFmtId="0" fontId="21" fillId="0" borderId="17" xfId="0" applyFont="1" applyBorder="1" applyAlignment="1">
      <alignment horizontal="left"/>
    </xf>
    <xf numFmtId="0" fontId="0" fillId="0" borderId="17" xfId="0" applyFont="1" applyBorder="1" applyAlignment="1">
      <alignment horizontal="left"/>
    </xf>
    <xf numFmtId="0" fontId="21" fillId="0" borderId="17" xfId="88" applyFont="1" applyBorder="1" applyAlignment="1" applyProtection="1">
      <alignment horizontal="left"/>
      <protection/>
    </xf>
    <xf numFmtId="0" fontId="0" fillId="0" borderId="17" xfId="88" applyFont="1" applyBorder="1" applyProtection="1">
      <alignment/>
      <protection/>
    </xf>
    <xf numFmtId="0" fontId="25" fillId="0" borderId="0" xfId="0" applyFont="1" applyAlignment="1">
      <alignment horizontal="center" vertical="center"/>
    </xf>
    <xf numFmtId="0" fontId="35" fillId="0" borderId="29"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27" fillId="0" borderId="0" xfId="0" applyFont="1" applyAlignment="1" applyProtection="1">
      <alignment horizontal="center"/>
      <protection/>
    </xf>
    <xf numFmtId="4" fontId="24" fillId="25" borderId="13" xfId="106" applyNumberFormat="1" applyFont="1" applyFill="1" applyBorder="1" applyAlignment="1" applyProtection="1">
      <alignment horizontal="center" vertical="center" shrinkToFit="1"/>
      <protection/>
    </xf>
    <xf numFmtId="10" fontId="24" fillId="21" borderId="0" xfId="94" applyNumberFormat="1" applyFont="1" applyFill="1" applyBorder="1" applyAlignment="1" applyProtection="1">
      <alignment horizontal="center" vertical="center" shrinkToFit="1"/>
      <protection/>
    </xf>
    <xf numFmtId="4" fontId="24" fillId="21" borderId="13" xfId="106" applyNumberFormat="1" applyFont="1" applyFill="1" applyBorder="1" applyAlignment="1" applyProtection="1">
      <alignment horizontal="center" vertical="center" shrinkToFit="1"/>
      <protection/>
    </xf>
    <xf numFmtId="0" fontId="35" fillId="0" borderId="30" xfId="0" applyFont="1" applyBorder="1" applyAlignment="1" applyProtection="1">
      <alignment horizontal="center" vertical="center" wrapText="1"/>
      <protection/>
    </xf>
    <xf numFmtId="0" fontId="0" fillId="0" borderId="17" xfId="0" applyFont="1" applyFill="1" applyBorder="1" applyAlignment="1" applyProtection="1">
      <alignment/>
      <protection/>
    </xf>
    <xf numFmtId="0" fontId="0" fillId="0" borderId="17" xfId="0" applyFont="1" applyFill="1" applyBorder="1" applyAlignment="1" applyProtection="1">
      <alignment horizontal="center"/>
      <protection/>
    </xf>
    <xf numFmtId="0" fontId="21" fillId="25" borderId="18"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5" fillId="0" borderId="0" xfId="0" applyFont="1" applyAlignment="1" applyProtection="1">
      <alignment horizontal="center" wrapText="1"/>
      <protection/>
    </xf>
    <xf numFmtId="0" fontId="44" fillId="0" borderId="0" xfId="0" applyFont="1" applyFill="1" applyAlignment="1" applyProtection="1">
      <alignment/>
      <protection/>
    </xf>
    <xf numFmtId="0" fontId="0" fillId="0" borderId="31" xfId="0" applyNumberFormat="1" applyFont="1" applyFill="1" applyBorder="1" applyAlignment="1">
      <alignment vertical="center" wrapText="1" shrinkToFit="1"/>
    </xf>
    <xf numFmtId="0" fontId="37" fillId="24" borderId="32" xfId="0" applyNumberFormat="1" applyFont="1" applyFill="1" applyBorder="1" applyAlignment="1" applyProtection="1">
      <alignment horizontal="center" vertical="center" wrapText="1"/>
      <protection/>
    </xf>
    <xf numFmtId="0" fontId="2" fillId="21" borderId="23" xfId="0" applyNumberFormat="1" applyFont="1" applyFill="1" applyBorder="1" applyAlignment="1" applyProtection="1">
      <alignment vertical="center" wrapText="1"/>
      <protection/>
    </xf>
    <xf numFmtId="164"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21" fillId="25" borderId="11" xfId="0" applyFont="1" applyFill="1" applyBorder="1" applyAlignment="1" applyProtection="1">
      <alignment horizontal="center" vertical="center"/>
      <protection/>
    </xf>
    <xf numFmtId="10" fontId="28" fillId="0" borderId="0" xfId="94" applyNumberFormat="1" applyFont="1" applyFill="1" applyBorder="1" applyAlignment="1" applyProtection="1">
      <alignment horizontal="center" vertical="center"/>
      <protection/>
    </xf>
    <xf numFmtId="4" fontId="28" fillId="0" borderId="0" xfId="94"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3" fillId="0" borderId="0" xfId="0" applyFont="1" applyFill="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3"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19" fillId="0" borderId="0" xfId="0" applyFont="1" applyAlignment="1" applyProtection="1">
      <alignment wrapText="1"/>
      <protection/>
    </xf>
    <xf numFmtId="0" fontId="0" fillId="0" borderId="0" xfId="0" applyNumberFormat="1" applyAlignment="1" applyProtection="1">
      <alignment/>
      <protection/>
    </xf>
    <xf numFmtId="0" fontId="21" fillId="0" borderId="0" xfId="0" applyFont="1" applyFill="1" applyBorder="1" applyAlignment="1" applyProtection="1">
      <alignment horizontal="center" wrapText="1"/>
      <protection/>
    </xf>
    <xf numFmtId="0" fontId="24" fillId="0" borderId="15"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Border="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vertical="top"/>
      <protection/>
    </xf>
    <xf numFmtId="0" fontId="21" fillId="0" borderId="0" xfId="0" applyFont="1" applyBorder="1" applyAlignment="1" applyProtection="1">
      <alignment vertical="center"/>
      <protection/>
    </xf>
    <xf numFmtId="4" fontId="2" fillId="0" borderId="0" xfId="0" applyNumberFormat="1" applyFont="1" applyAlignment="1" applyProtection="1">
      <alignment/>
      <protection/>
    </xf>
    <xf numFmtId="0" fontId="21" fillId="0" borderId="17" xfId="0" applyFont="1" applyFill="1" applyBorder="1" applyAlignment="1" applyProtection="1">
      <alignment horizontal="left" vertical="center"/>
      <protection/>
    </xf>
    <xf numFmtId="0" fontId="0" fillId="0" borderId="17" xfId="0" applyFont="1" applyBorder="1" applyAlignment="1" applyProtection="1">
      <alignment/>
      <protection/>
    </xf>
    <xf numFmtId="0" fontId="0" fillId="0" borderId="0" xfId="0" applyFont="1" applyBorder="1" applyAlignment="1" applyProtection="1">
      <alignment horizontal="center"/>
      <protection/>
    </xf>
    <xf numFmtId="0" fontId="21" fillId="0" borderId="11" xfId="0" applyFont="1" applyFill="1" applyBorder="1" applyAlignment="1" applyProtection="1">
      <alignment wrapText="1"/>
      <protection/>
    </xf>
    <xf numFmtId="0" fontId="0" fillId="0" borderId="11" xfId="0" applyBorder="1" applyAlignment="1" applyProtection="1">
      <alignment/>
      <protection/>
    </xf>
    <xf numFmtId="0" fontId="0" fillId="0" borderId="11" xfId="0" applyBorder="1" applyAlignment="1" applyProtection="1" quotePrefix="1">
      <alignment/>
      <protection/>
    </xf>
    <xf numFmtId="10" fontId="28" fillId="0" borderId="11" xfId="94" applyNumberFormat="1" applyFont="1" applyFill="1" applyBorder="1" applyAlignment="1" applyProtection="1">
      <alignment horizontal="center" vertical="center"/>
      <protection/>
    </xf>
    <xf numFmtId="4" fontId="28" fillId="0" borderId="11" xfId="94" applyNumberFormat="1" applyFont="1" applyFill="1" applyBorder="1" applyAlignment="1" applyProtection="1">
      <alignment horizontal="center" vertical="center"/>
      <protection/>
    </xf>
    <xf numFmtId="4" fontId="24" fillId="25" borderId="18" xfId="106" applyNumberFormat="1" applyFont="1" applyFill="1" applyBorder="1" applyAlignment="1" applyProtection="1">
      <alignment horizontal="center" vertical="center" shrinkToFit="1"/>
      <protection/>
    </xf>
    <xf numFmtId="10" fontId="24" fillId="21" borderId="11" xfId="94" applyNumberFormat="1" applyFont="1" applyFill="1" applyBorder="1" applyAlignment="1" applyProtection="1">
      <alignment horizontal="center" vertical="center" shrinkToFit="1"/>
      <protection/>
    </xf>
    <xf numFmtId="4" fontId="24"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4" fillId="25" borderId="11" xfId="94" applyNumberFormat="1" applyFont="1" applyFill="1" applyBorder="1" applyAlignment="1" applyProtection="1">
      <alignment horizontal="center" vertical="center" shrinkToFit="1"/>
      <protection/>
    </xf>
    <xf numFmtId="10" fontId="24" fillId="25" borderId="0" xfId="94" applyNumberFormat="1" applyFont="1" applyFill="1" applyBorder="1" applyAlignment="1" applyProtection="1">
      <alignment horizontal="center" vertical="center" shrinkToFit="1"/>
      <protection/>
    </xf>
    <xf numFmtId="4" fontId="28" fillId="0" borderId="12" xfId="94" applyNumberFormat="1" applyFont="1" applyFill="1" applyBorder="1" applyAlignment="1" applyProtection="1">
      <alignment horizontal="center" vertical="center"/>
      <protection/>
    </xf>
    <xf numFmtId="10" fontId="0" fillId="0" borderId="14" xfId="0" applyNumberFormat="1" applyBorder="1" applyAlignment="1" applyProtection="1">
      <alignment/>
      <protection/>
    </xf>
    <xf numFmtId="49" fontId="0" fillId="22" borderId="2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xf>
    <xf numFmtId="0" fontId="0" fillId="0" borderId="14" xfId="0" applyFont="1" applyBorder="1" applyAlignment="1">
      <alignment/>
    </xf>
    <xf numFmtId="0" fontId="0" fillId="0" borderId="0" xfId="0" applyAlignment="1" quotePrefix="1">
      <alignment/>
    </xf>
    <xf numFmtId="0" fontId="28" fillId="0" borderId="0" xfId="0" applyFont="1" applyFill="1" applyBorder="1" applyAlignment="1" applyProtection="1">
      <alignment horizontal="left" wrapText="1"/>
      <protection locked="0"/>
    </xf>
    <xf numFmtId="0" fontId="0" fillId="0" borderId="14" xfId="0" applyFont="1" applyBorder="1" applyAlignment="1" applyProtection="1">
      <alignment/>
      <protection locked="0"/>
    </xf>
    <xf numFmtId="164" fontId="0" fillId="22" borderId="34" xfId="106" applyFont="1" applyFill="1" applyBorder="1" applyAlignment="1" applyProtection="1">
      <alignment vertical="center" shrinkToFit="1"/>
      <protection locked="0"/>
    </xf>
    <xf numFmtId="0" fontId="21" fillId="24" borderId="32" xfId="0" applyNumberFormat="1" applyFont="1" applyFill="1" applyBorder="1" applyAlignment="1" applyProtection="1">
      <alignment horizontal="center" vertical="center" shrinkToFit="1"/>
      <protection/>
    </xf>
    <xf numFmtId="0" fontId="21" fillId="24" borderId="25" xfId="0" applyNumberFormat="1" applyFont="1" applyFill="1" applyBorder="1" applyAlignment="1" applyProtection="1">
      <alignment horizontal="center" vertical="center" shrinkToFit="1"/>
      <protection/>
    </xf>
    <xf numFmtId="0" fontId="21" fillId="0" borderId="11" xfId="0" applyFont="1" applyFill="1" applyBorder="1" applyAlignment="1" applyProtection="1">
      <alignment horizontal="center" vertical="center" wrapText="1" shrinkToFit="1"/>
      <protection/>
    </xf>
    <xf numFmtId="14" fontId="24"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28" fillId="22" borderId="35" xfId="94" applyNumberFormat="1" applyFont="1" applyFill="1" applyBorder="1" applyAlignment="1" applyProtection="1">
      <alignment horizontal="center" vertical="center"/>
      <protection hidden="1" locked="0"/>
    </xf>
    <xf numFmtId="0" fontId="24"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wrapText="1"/>
      <protection/>
    </xf>
    <xf numFmtId="0" fontId="0" fillId="20" borderId="0" xfId="0" applyFont="1" applyFill="1" applyAlignment="1">
      <alignment/>
    </xf>
    <xf numFmtId="10" fontId="28" fillId="22" borderId="36" xfId="94" applyNumberFormat="1" applyFont="1" applyFill="1" applyBorder="1" applyAlignment="1" applyProtection="1">
      <alignment horizontal="center" vertical="center"/>
      <protection locked="0"/>
    </xf>
    <xf numFmtId="10" fontId="28" fillId="22" borderId="35" xfId="94" applyNumberFormat="1" applyFont="1" applyFill="1" applyBorder="1" applyAlignment="1" applyProtection="1">
      <alignment horizontal="center" vertical="center"/>
      <protection locked="0"/>
    </xf>
    <xf numFmtId="10" fontId="28" fillId="22" borderId="37" xfId="94" applyNumberFormat="1" applyFont="1" applyFill="1" applyBorder="1" applyAlignment="1" applyProtection="1">
      <alignment horizontal="center" vertical="center"/>
      <protection locked="0"/>
    </xf>
    <xf numFmtId="164" fontId="0" fillId="26" borderId="24" xfId="106" applyFont="1" applyFill="1" applyBorder="1" applyAlignment="1" applyProtection="1">
      <alignment vertical="center" wrapText="1"/>
      <protection locked="0"/>
    </xf>
    <xf numFmtId="0" fontId="0" fillId="26" borderId="24" xfId="0" applyNumberFormat="1" applyFont="1" applyFill="1" applyBorder="1" applyAlignment="1" applyProtection="1">
      <alignment horizontal="center" vertical="center" wrapText="1"/>
      <protection locked="0"/>
    </xf>
    <xf numFmtId="0" fontId="0" fillId="26" borderId="24" xfId="0" applyNumberFormat="1" applyFont="1" applyFill="1" applyBorder="1" applyAlignment="1" applyProtection="1">
      <alignment vertical="center" wrapText="1"/>
      <protection locked="0"/>
    </xf>
    <xf numFmtId="10" fontId="0" fillId="26" borderId="24" xfId="94" applyNumberFormat="1" applyFont="1" applyFill="1" applyBorder="1" applyAlignment="1" applyProtection="1">
      <alignment horizontal="center" vertical="center" wrapText="1"/>
      <protection locked="0"/>
    </xf>
    <xf numFmtId="164" fontId="0" fillId="22" borderId="24" xfId="106" applyNumberFormat="1" applyFont="1" applyFill="1" applyBorder="1" applyAlignment="1" applyProtection="1">
      <alignment vertical="center" shrinkToFi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0" fontId="21" fillId="0" borderId="11" xfId="90" applyFont="1" applyFill="1" applyBorder="1" applyAlignment="1" applyProtection="1">
      <alignment horizontal="left" vertical="top"/>
      <protection/>
    </xf>
    <xf numFmtId="0" fontId="21" fillId="0" borderId="0" xfId="90" applyFont="1" applyFill="1" applyBorder="1" applyAlignment="1" applyProtection="1">
      <alignment horizontal="left" vertical="top"/>
      <protection/>
    </xf>
    <xf numFmtId="0" fontId="21" fillId="0" borderId="12" xfId="90" applyFont="1" applyFill="1" applyBorder="1" applyAlignment="1" applyProtection="1">
      <alignment horizontal="left" vertical="top"/>
      <protection/>
    </xf>
    <xf numFmtId="0" fontId="21" fillId="0" borderId="11" xfId="90" applyFont="1" applyBorder="1" applyAlignment="1" applyProtection="1">
      <alignment horizontal="left" vertical="top"/>
      <protection/>
    </xf>
    <xf numFmtId="0" fontId="21" fillId="0" borderId="0" xfId="90" applyFont="1" applyBorder="1" applyAlignment="1" applyProtection="1">
      <alignment horizontal="left" vertical="top"/>
      <protection/>
    </xf>
    <xf numFmtId="0" fontId="21" fillId="0" borderId="12" xfId="90" applyFont="1" applyBorder="1" applyAlignment="1" applyProtection="1">
      <alignment horizontal="left" vertical="top"/>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0" fillId="22" borderId="13" xfId="0" applyFill="1" applyBorder="1" applyAlignment="1" applyProtection="1">
      <alignment horizontal="left" vertical="top" wrapText="1"/>
      <protection locked="0"/>
    </xf>
    <xf numFmtId="0" fontId="0" fillId="22" borderId="38" xfId="0" applyFill="1" applyBorder="1" applyAlignment="1" applyProtection="1">
      <alignment horizontal="left" vertical="top" wrapText="1"/>
      <protection locked="0"/>
    </xf>
    <xf numFmtId="49" fontId="0" fillId="22" borderId="18" xfId="0" applyNumberFormat="1"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10" fontId="0" fillId="22" borderId="18" xfId="94" applyNumberFormat="1" applyFont="1" applyFill="1" applyBorder="1" applyAlignment="1" applyProtection="1">
      <alignment horizontal="left" vertical="top" wrapText="1"/>
      <protection locked="0"/>
    </xf>
    <xf numFmtId="10" fontId="0" fillId="22" borderId="13" xfId="94" applyNumberFormat="1" applyFont="1" applyFill="1" applyBorder="1" applyAlignment="1" applyProtection="1">
      <alignment horizontal="left" vertical="top" wrapText="1"/>
      <protection locked="0"/>
    </xf>
    <xf numFmtId="10" fontId="0" fillId="22" borderId="38" xfId="94" applyNumberFormat="1" applyFont="1" applyFill="1" applyBorder="1" applyAlignment="1" applyProtection="1">
      <alignment horizontal="left" vertical="top" wrapText="1"/>
      <protection locked="0"/>
    </xf>
    <xf numFmtId="10" fontId="0" fillId="0" borderId="18" xfId="94" applyNumberFormat="1" applyFont="1" applyFill="1" applyBorder="1" applyAlignment="1" applyProtection="1">
      <alignment horizontal="left" vertical="top" wrapText="1"/>
      <protection/>
    </xf>
    <xf numFmtId="10" fontId="0" fillId="0" borderId="13" xfId="94" applyNumberFormat="1" applyFont="1" applyFill="1" applyBorder="1" applyAlignment="1" applyProtection="1">
      <alignment horizontal="left" vertical="top" wrapText="1"/>
      <protection/>
    </xf>
    <xf numFmtId="10" fontId="0" fillId="0" borderId="13" xfId="94" applyNumberFormat="1" applyFont="1" applyFill="1" applyBorder="1" applyAlignment="1" applyProtection="1">
      <alignment horizontal="left" vertical="top" wrapText="1"/>
      <protection/>
    </xf>
    <xf numFmtId="10" fontId="0" fillId="0" borderId="38" xfId="94" applyNumberFormat="1" applyFont="1" applyFill="1" applyBorder="1" applyAlignment="1" applyProtection="1">
      <alignment horizontal="left" vertical="top" wrapText="1"/>
      <protection/>
    </xf>
    <xf numFmtId="14" fontId="0" fillId="0" borderId="18" xfId="94" applyNumberFormat="1" applyFont="1" applyFill="1" applyBorder="1" applyAlignment="1" applyProtection="1">
      <alignment horizontal="center" vertical="top" wrapText="1"/>
      <protection/>
    </xf>
    <xf numFmtId="14" fontId="0" fillId="0" borderId="38" xfId="94"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0" fillId="0" borderId="18"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4" fontId="0" fillId="0" borderId="18" xfId="94" applyNumberFormat="1" applyFont="1" applyFill="1" applyBorder="1" applyAlignment="1" applyProtection="1">
      <alignment horizontal="center" vertical="top" wrapText="1"/>
      <protection/>
    </xf>
    <xf numFmtId="14" fontId="0" fillId="0" borderId="38" xfId="94" applyNumberFormat="1" applyFont="1" applyFill="1" applyBorder="1" applyAlignment="1" applyProtection="1">
      <alignment horizontal="center" vertical="top" wrapText="1"/>
      <protection/>
    </xf>
    <xf numFmtId="0" fontId="0" fillId="0" borderId="13" xfId="0" applyFont="1" applyFill="1" applyBorder="1" applyAlignment="1" applyProtection="1">
      <alignment horizontal="left" vertical="top" wrapText="1"/>
      <protection/>
    </xf>
    <xf numFmtId="167" fontId="0" fillId="0" borderId="18" xfId="94" applyNumberFormat="1" applyFont="1" applyFill="1" applyBorder="1" applyAlignment="1" applyProtection="1">
      <alignment horizontal="left" vertical="top" wrapText="1"/>
      <protection/>
    </xf>
    <xf numFmtId="167" fontId="0" fillId="0" borderId="13" xfId="94" applyNumberFormat="1" applyFont="1" applyFill="1" applyBorder="1" applyAlignment="1" applyProtection="1">
      <alignment horizontal="left" vertical="top" wrapText="1"/>
      <protection/>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35" fillId="0" borderId="11" xfId="90" applyFont="1" applyFill="1" applyBorder="1" applyAlignment="1" applyProtection="1">
      <alignment horizontal="left" vertical="top"/>
      <protection/>
    </xf>
    <xf numFmtId="0" fontId="35" fillId="0" borderId="12" xfId="90" applyFont="1" applyFill="1" applyBorder="1" applyAlignment="1" applyProtection="1">
      <alignment horizontal="left" vertical="top"/>
      <protection/>
    </xf>
    <xf numFmtId="167" fontId="0" fillId="22" borderId="18" xfId="0" applyNumberFormat="1" applyFill="1" applyBorder="1" applyAlignment="1" applyProtection="1">
      <alignment horizontal="center" vertical="top" wrapText="1"/>
      <protection locked="0"/>
    </xf>
    <xf numFmtId="167" fontId="0" fillId="22" borderId="38" xfId="0" applyNumberFormat="1" applyFill="1" applyBorder="1" applyAlignment="1" applyProtection="1">
      <alignment horizontal="center" vertical="top" wrapText="1"/>
      <protection locked="0"/>
    </xf>
    <xf numFmtId="167" fontId="0" fillId="0" borderId="18" xfId="0" applyNumberFormat="1" applyFill="1" applyBorder="1" applyAlignment="1" applyProtection="1">
      <alignment horizontal="center" vertical="top" wrapText="1"/>
      <protection/>
    </xf>
    <xf numFmtId="167" fontId="0" fillId="0" borderId="38" xfId="0" applyNumberFormat="1" applyFill="1" applyBorder="1" applyAlignment="1" applyProtection="1">
      <alignment horizontal="center"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49" fontId="0" fillId="22" borderId="0" xfId="0" applyNumberFormat="1" applyFill="1" applyBorder="1" applyAlignment="1" applyProtection="1">
      <alignment horizontal="left"/>
      <protection locked="0"/>
    </xf>
    <xf numFmtId="0" fontId="0" fillId="22" borderId="0" xfId="0" applyFont="1" applyFill="1" applyBorder="1" applyAlignment="1" applyProtection="1">
      <alignment horizontal="left"/>
      <protection locked="0"/>
    </xf>
    <xf numFmtId="0" fontId="0" fillId="22" borderId="0" xfId="0" applyFill="1" applyBorder="1" applyAlignment="1" applyProtection="1">
      <alignment horizontal="left"/>
      <protection locked="0"/>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0" fontId="20" fillId="20" borderId="17" xfId="0" applyFont="1" applyFill="1" applyBorder="1" applyAlignment="1" applyProtection="1">
      <alignment horizontal="center" vertical="center" wrapText="1"/>
      <protection/>
    </xf>
    <xf numFmtId="0" fontId="20" fillId="20" borderId="39"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0" fillId="20" borderId="38" xfId="0" applyFont="1" applyFill="1" applyBorder="1" applyAlignment="1" applyProtection="1">
      <alignment horizontal="center" vertical="center" wrapText="1"/>
      <protection/>
    </xf>
    <xf numFmtId="0" fontId="35" fillId="0" borderId="11" xfId="90" applyFont="1" applyBorder="1" applyAlignment="1" applyProtection="1">
      <alignment horizontal="left" vertical="top"/>
      <protection/>
    </xf>
    <xf numFmtId="0" fontId="35" fillId="0" borderId="12" xfId="90" applyFont="1" applyBorder="1" applyAlignment="1" applyProtection="1">
      <alignment horizontal="left" vertical="top"/>
      <protection/>
    </xf>
    <xf numFmtId="14" fontId="0" fillId="22" borderId="18" xfId="94" applyNumberFormat="1" applyFont="1" applyFill="1" applyBorder="1" applyAlignment="1" applyProtection="1">
      <alignment horizontal="center" vertical="top" wrapText="1"/>
      <protection locked="0"/>
    </xf>
    <xf numFmtId="14" fontId="0" fillId="22" borderId="38" xfId="94" applyNumberFormat="1" applyFont="1" applyFill="1" applyBorder="1" applyAlignment="1" applyProtection="1">
      <alignment horizontal="center" vertical="top" wrapText="1"/>
      <protection locked="0"/>
    </xf>
    <xf numFmtId="49" fontId="0" fillId="22" borderId="18" xfId="94" applyNumberFormat="1" applyFont="1" applyFill="1" applyBorder="1" applyAlignment="1" applyProtection="1">
      <alignment horizontal="left" vertical="top" wrapText="1"/>
      <protection locked="0"/>
    </xf>
    <xf numFmtId="49" fontId="0" fillId="22" borderId="13" xfId="94" applyNumberFormat="1" applyFont="1" applyFill="1" applyBorder="1" applyAlignment="1" applyProtection="1">
      <alignment horizontal="left" vertical="top" wrapText="1"/>
      <protection locked="0"/>
    </xf>
    <xf numFmtId="49" fontId="0" fillId="22" borderId="13" xfId="94" applyNumberFormat="1" applyFont="1" applyFill="1" applyBorder="1" applyAlignment="1" applyProtection="1">
      <alignment horizontal="left" vertical="top" wrapText="1"/>
      <protection locked="0"/>
    </xf>
    <xf numFmtId="49" fontId="0" fillId="22" borderId="38" xfId="94" applyNumberFormat="1" applyFont="1" applyFill="1" applyBorder="1" applyAlignment="1" applyProtection="1">
      <alignment horizontal="left" vertical="top" wrapText="1"/>
      <protection locked="0"/>
    </xf>
    <xf numFmtId="14" fontId="0" fillId="22" borderId="38" xfId="94" applyNumberFormat="1"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center" wrapText="1"/>
      <protection/>
    </xf>
    <xf numFmtId="0" fontId="0" fillId="0" borderId="4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4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49" fontId="0" fillId="22" borderId="0" xfId="0" applyNumberFormat="1" applyFont="1" applyFill="1" applyBorder="1" applyAlignment="1" applyProtection="1">
      <alignment horizontal="left"/>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0" fontId="0" fillId="22" borderId="18" xfId="0" applyFill="1" applyBorder="1" applyAlignment="1" applyProtection="1">
      <alignment horizontal="left" vertical="top" wrapText="1"/>
      <protection locked="0"/>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0" fontId="21" fillId="0" borderId="40" xfId="0" applyFont="1" applyFill="1" applyBorder="1" applyAlignment="1" applyProtection="1">
      <alignment horizontal="left" wrapText="1"/>
      <protection/>
    </xf>
    <xf numFmtId="0" fontId="21" fillId="0" borderId="0" xfId="0" applyFont="1" applyFill="1" applyBorder="1" applyAlignment="1" applyProtection="1">
      <alignment horizontal="left" wrapText="1"/>
      <protection/>
    </xf>
    <xf numFmtId="49" fontId="0" fillId="0" borderId="0" xfId="88" applyNumberFormat="1" applyFont="1" applyFill="1" applyBorder="1" applyAlignment="1" applyProtection="1">
      <alignment horizontal="left"/>
      <protection locked="0"/>
    </xf>
    <xf numFmtId="0" fontId="24" fillId="0" borderId="0" xfId="88" applyFont="1" applyBorder="1" applyAlignment="1" applyProtection="1">
      <alignment horizontal="left" vertical="center"/>
      <protection/>
    </xf>
    <xf numFmtId="0" fontId="21" fillId="0" borderId="0" xfId="88" applyFont="1" applyBorder="1" applyAlignment="1" applyProtection="1">
      <alignment horizontal="left" vertical="center"/>
      <protection/>
    </xf>
    <xf numFmtId="10" fontId="2" fillId="22" borderId="14" xfId="88" applyNumberFormat="1" applyFont="1" applyFill="1" applyBorder="1" applyAlignment="1" applyProtection="1">
      <alignment horizontal="center"/>
      <protection locked="0"/>
    </xf>
    <xf numFmtId="0" fontId="2" fillId="0" borderId="14" xfId="88" applyFont="1" applyFill="1" applyBorder="1" applyAlignment="1" applyProtection="1">
      <alignment horizontal="left"/>
      <protection/>
    </xf>
    <xf numFmtId="0" fontId="24" fillId="0" borderId="14" xfId="88" applyFont="1" applyBorder="1" applyAlignment="1" applyProtection="1">
      <alignment horizontal="center" vertical="center"/>
      <protection/>
    </xf>
    <xf numFmtId="0" fontId="2" fillId="0" borderId="14" xfId="88" applyFont="1" applyFill="1" applyBorder="1" applyAlignment="1" applyProtection="1">
      <alignment horizontal="left" wrapText="1"/>
      <protection/>
    </xf>
    <xf numFmtId="0" fontId="24" fillId="0" borderId="14" xfId="88" applyFont="1" applyFill="1" applyBorder="1" applyAlignment="1" applyProtection="1">
      <alignment horizontal="center" vertical="center"/>
      <protection/>
    </xf>
    <xf numFmtId="4" fontId="24" fillId="0" borderId="14" xfId="88" applyNumberFormat="1" applyFont="1" applyFill="1" applyBorder="1" applyAlignment="1" applyProtection="1">
      <alignment horizontal="center" vertical="center" wrapText="1"/>
      <protection/>
    </xf>
    <xf numFmtId="169" fontId="2" fillId="22" borderId="18" xfId="85" applyFont="1" applyFill="1" applyBorder="1" applyAlignment="1" applyProtection="1">
      <alignment horizontal="left"/>
      <protection locked="0"/>
    </xf>
    <xf numFmtId="169" fontId="2" fillId="22" borderId="13" xfId="85" applyFont="1" applyFill="1" applyBorder="1" applyAlignment="1" applyProtection="1">
      <alignment horizontal="left"/>
      <protection locked="0"/>
    </xf>
    <xf numFmtId="169" fontId="2" fillId="22" borderId="38" xfId="85" applyFont="1" applyFill="1" applyBorder="1" applyAlignment="1" applyProtection="1">
      <alignment horizontal="left"/>
      <protection locked="0"/>
    </xf>
    <xf numFmtId="0" fontId="0" fillId="0" borderId="18" xfId="88" applyFont="1" applyFill="1" applyBorder="1" applyAlignment="1" applyProtection="1">
      <alignment horizontal="center" vertical="top" wrapText="1"/>
      <protection/>
    </xf>
    <xf numFmtId="0" fontId="0" fillId="0" borderId="38" xfId="88" applyFont="1" applyFill="1" applyBorder="1" applyAlignment="1" applyProtection="1">
      <alignment horizontal="center" vertical="top" wrapText="1"/>
      <protection/>
    </xf>
    <xf numFmtId="0" fontId="0" fillId="0" borderId="18" xfId="88" applyFont="1" applyFill="1" applyBorder="1" applyAlignment="1" applyProtection="1">
      <alignment horizontal="left" vertical="top" wrapText="1"/>
      <protection/>
    </xf>
    <xf numFmtId="0" fontId="0" fillId="0" borderId="38" xfId="88" applyFont="1" applyFill="1" applyBorder="1" applyAlignment="1" applyProtection="1">
      <alignment horizontal="left" vertical="top" wrapText="1"/>
      <protection/>
    </xf>
    <xf numFmtId="49" fontId="0" fillId="0" borderId="18" xfId="88" applyNumberFormat="1" applyFont="1" applyFill="1" applyBorder="1" applyAlignment="1" applyProtection="1">
      <alignment horizontal="left" vertical="top" wrapText="1"/>
      <protection/>
    </xf>
    <xf numFmtId="0" fontId="0" fillId="0" borderId="13" xfId="88" applyNumberFormat="1" applyFont="1" applyFill="1" applyBorder="1" applyAlignment="1" applyProtection="1">
      <alignment horizontal="left" vertical="top" wrapText="1"/>
      <protection/>
    </xf>
    <xf numFmtId="0" fontId="0" fillId="0" borderId="38" xfId="88" applyNumberFormat="1" applyFont="1" applyFill="1" applyBorder="1" applyAlignment="1" applyProtection="1">
      <alignment horizontal="left" vertical="top" wrapText="1"/>
      <protection/>
    </xf>
    <xf numFmtId="0" fontId="2" fillId="0" borderId="16" xfId="85" applyNumberFormat="1" applyFont="1" applyFill="1" applyBorder="1" applyAlignment="1" applyProtection="1">
      <alignment horizontal="left" wrapText="1"/>
      <protection/>
    </xf>
    <xf numFmtId="0" fontId="43" fillId="0" borderId="0" xfId="88" applyFont="1" applyAlignment="1" applyProtection="1">
      <alignment horizontal="center" vertical="top" wrapText="1"/>
      <protection/>
    </xf>
    <xf numFmtId="171" fontId="0" fillId="0" borderId="13" xfId="88" applyNumberFormat="1" applyFont="1" applyFill="1" applyBorder="1" applyAlignment="1" applyProtection="1">
      <alignment horizontal="left"/>
      <protection/>
    </xf>
    <xf numFmtId="0" fontId="0" fillId="0" borderId="14" xfId="88" applyFont="1" applyBorder="1" applyAlignment="1" applyProtection="1">
      <alignment horizontal="left" vertical="center" wrapText="1"/>
      <protection/>
    </xf>
    <xf numFmtId="0" fontId="0" fillId="0" borderId="14" xfId="88" applyFont="1" applyBorder="1" applyAlignment="1" applyProtection="1">
      <alignment horizontal="left" vertical="center"/>
      <protection/>
    </xf>
    <xf numFmtId="0" fontId="21" fillId="0" borderId="14" xfId="88" applyFont="1" applyFill="1" applyBorder="1" applyAlignment="1" applyProtection="1">
      <alignment horizontal="center" vertical="center"/>
      <protection/>
    </xf>
    <xf numFmtId="0" fontId="33" fillId="0" borderId="14" xfId="88" applyFont="1" applyBorder="1" applyAlignment="1" applyProtection="1">
      <alignment horizontal="center" vertical="center" wrapText="1"/>
      <protection/>
    </xf>
    <xf numFmtId="0" fontId="38" fillId="0" borderId="0" xfId="0" applyFont="1" applyBorder="1" applyAlignment="1" applyProtection="1" quotePrefix="1">
      <alignment horizontal="left" vertical="center"/>
      <protection/>
    </xf>
    <xf numFmtId="0" fontId="38" fillId="0" borderId="0" xfId="0" applyFont="1" applyBorder="1" applyAlignment="1" applyProtection="1">
      <alignment horizontal="left" vertical="center"/>
      <protection/>
    </xf>
    <xf numFmtId="0" fontId="39" fillId="0" borderId="0" xfId="0" applyFont="1" applyBorder="1" applyAlignment="1" applyProtection="1">
      <alignment horizontal="center"/>
      <protection/>
    </xf>
    <xf numFmtId="0" fontId="38" fillId="0" borderId="0" xfId="0" applyFont="1" applyBorder="1" applyAlignment="1" applyProtection="1">
      <alignment horizontal="center" vertical="top"/>
      <protection/>
    </xf>
    <xf numFmtId="0" fontId="38" fillId="0" borderId="0" xfId="0" applyFont="1" applyBorder="1" applyAlignment="1" applyProtection="1">
      <alignment horizontal="right" vertical="center"/>
      <protection/>
    </xf>
    <xf numFmtId="171" fontId="0" fillId="0" borderId="0" xfId="88" applyNumberFormat="1" applyFont="1" applyFill="1" applyBorder="1" applyAlignment="1" applyProtection="1">
      <alignment horizontal="left"/>
      <protection/>
    </xf>
    <xf numFmtId="0" fontId="41" fillId="0" borderId="0" xfId="88" applyFont="1" applyAlignment="1" applyProtection="1">
      <alignment horizontal="left" vertical="center" indent="1"/>
      <protection/>
    </xf>
    <xf numFmtId="0" fontId="36" fillId="0" borderId="0" xfId="88" applyFont="1" applyBorder="1" applyAlignment="1" applyProtection="1">
      <alignment horizontal="left" vertical="center" wrapText="1"/>
      <protection/>
    </xf>
    <xf numFmtId="2" fontId="31" fillId="0" borderId="17" xfId="88" applyNumberFormat="1" applyFont="1" applyFill="1" applyBorder="1" applyAlignment="1" applyProtection="1">
      <alignment horizontal="center" vertical="center"/>
      <protection/>
    </xf>
    <xf numFmtId="0" fontId="0" fillId="0" borderId="0" xfId="88" applyFont="1" applyBorder="1" applyAlignment="1" applyProtection="1">
      <alignment horizontal="center" vertical="center"/>
      <protection/>
    </xf>
    <xf numFmtId="168" fontId="0" fillId="0" borderId="13" xfId="88" applyNumberFormat="1" applyFont="1" applyBorder="1" applyAlignment="1" applyProtection="1">
      <alignment horizontal="left"/>
      <protection/>
    </xf>
    <xf numFmtId="49" fontId="0" fillId="22" borderId="32" xfId="88" applyNumberFormat="1" applyFont="1" applyFill="1" applyBorder="1" applyAlignment="1" applyProtection="1">
      <alignment horizontal="left" vertical="top" wrapText="1"/>
      <protection locked="0"/>
    </xf>
    <xf numFmtId="49" fontId="0" fillId="22" borderId="10" xfId="88" applyNumberFormat="1" applyFont="1" applyFill="1" applyBorder="1" applyAlignment="1" applyProtection="1">
      <alignment horizontal="left" vertical="top" wrapText="1"/>
      <protection locked="0"/>
    </xf>
    <xf numFmtId="49" fontId="0" fillId="22" borderId="19" xfId="88" applyNumberFormat="1" applyFont="1" applyFill="1" applyBorder="1" applyAlignment="1" applyProtection="1">
      <alignment horizontal="left" vertical="top" wrapText="1"/>
      <protection locked="0"/>
    </xf>
    <xf numFmtId="0" fontId="0" fillId="0" borderId="17" xfId="88" applyFont="1" applyBorder="1" applyAlignment="1" applyProtection="1">
      <alignment horizontal="center" vertical="center"/>
      <protection/>
    </xf>
    <xf numFmtId="0" fontId="0" fillId="0" borderId="14" xfId="0" applyFont="1" applyBorder="1" applyAlignment="1">
      <alignment horizontal="center"/>
    </xf>
    <xf numFmtId="0" fontId="24" fillId="0" borderId="32" xfId="0" applyFont="1" applyFill="1" applyBorder="1" applyAlignment="1" applyProtection="1">
      <alignment horizontal="left" wrapText="1"/>
      <protection/>
    </xf>
    <xf numFmtId="0" fontId="24" fillId="0" borderId="10" xfId="0" applyFont="1" applyFill="1" applyBorder="1" applyAlignment="1" applyProtection="1">
      <alignment horizontal="left" wrapText="1"/>
      <protection/>
    </xf>
    <xf numFmtId="0" fontId="24" fillId="0" borderId="19" xfId="0" applyFont="1" applyFill="1" applyBorder="1" applyAlignment="1" applyProtection="1">
      <alignment horizontal="left" wrapText="1"/>
      <protection/>
    </xf>
    <xf numFmtId="0" fontId="28" fillId="22" borderId="11" xfId="0" applyFont="1" applyFill="1" applyBorder="1" applyAlignment="1" applyProtection="1">
      <alignment horizontal="left" wrapText="1"/>
      <protection locked="0"/>
    </xf>
    <xf numFmtId="0" fontId="28" fillId="22" borderId="0" xfId="0" applyFont="1" applyFill="1" applyBorder="1" applyAlignment="1" applyProtection="1">
      <alignment horizontal="left" wrapText="1"/>
      <protection locked="0"/>
    </xf>
    <xf numFmtId="0" fontId="28" fillId="22" borderId="12" xfId="0" applyFont="1" applyFill="1" applyBorder="1" applyAlignment="1" applyProtection="1">
      <alignment horizontal="left" wrapText="1"/>
      <protection locked="0"/>
    </xf>
    <xf numFmtId="0" fontId="28" fillId="22" borderId="18" xfId="0" applyFont="1" applyFill="1" applyBorder="1" applyAlignment="1" applyProtection="1">
      <alignment horizontal="left" wrapText="1"/>
      <protection locked="0"/>
    </xf>
    <xf numFmtId="0" fontId="28" fillId="22" borderId="13" xfId="0" applyFont="1" applyFill="1" applyBorder="1" applyAlignment="1" applyProtection="1">
      <alignment horizontal="left" wrapText="1"/>
      <protection locked="0"/>
    </xf>
    <xf numFmtId="0" fontId="28" fillId="22" borderId="38" xfId="0" applyFont="1" applyFill="1" applyBorder="1" applyAlignment="1" applyProtection="1">
      <alignment horizontal="left" wrapText="1"/>
      <protection locked="0"/>
    </xf>
    <xf numFmtId="0" fontId="28" fillId="0" borderId="3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170" fontId="0" fillId="0" borderId="0"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xf>
    <xf numFmtId="170" fontId="0" fillId="0" borderId="13" xfId="0" applyNumberFormat="1" applyFont="1" applyBorder="1" applyAlignment="1" applyProtection="1">
      <alignment horizontal="left"/>
      <protection/>
    </xf>
    <xf numFmtId="170" fontId="0" fillId="0" borderId="13" xfId="0" applyNumberFormat="1" applyFont="1" applyBorder="1" applyAlignment="1" applyProtection="1">
      <alignment horizontal="left" vertical="center"/>
      <protection/>
    </xf>
    <xf numFmtId="0" fontId="28" fillId="7" borderId="36" xfId="0"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0" fontId="28" fillId="7" borderId="37" xfId="0" applyFont="1" applyFill="1" applyBorder="1" applyAlignment="1" applyProtection="1">
      <alignment horizontal="center" vertical="center" wrapText="1"/>
      <protection/>
    </xf>
    <xf numFmtId="0" fontId="28" fillId="7" borderId="12" xfId="0" applyFont="1" applyFill="1" applyBorder="1" applyAlignment="1" applyProtection="1">
      <alignment horizontal="center" vertical="center" wrapText="1"/>
      <protection/>
    </xf>
    <xf numFmtId="0" fontId="24" fillId="24" borderId="21" xfId="0" applyFont="1" applyFill="1" applyBorder="1" applyAlignment="1" applyProtection="1">
      <alignment horizontal="center" vertical="center" wrapText="1"/>
      <protection/>
    </xf>
    <xf numFmtId="0" fontId="24" fillId="24" borderId="39" xfId="0" applyFont="1" applyFill="1" applyBorder="1" applyAlignment="1" applyProtection="1">
      <alignment horizontal="center" vertical="center" wrapText="1"/>
      <protection/>
    </xf>
    <xf numFmtId="0" fontId="24" fillId="24" borderId="11"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wrapText="1"/>
      <protection/>
    </xf>
    <xf numFmtId="0" fontId="24" fillId="24" borderId="18"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4" fontId="24" fillId="24" borderId="30" xfId="0" applyNumberFormat="1" applyFont="1" applyFill="1" applyBorder="1" applyAlignment="1" applyProtection="1">
      <alignment horizontal="center" vertical="center" shrinkToFit="1"/>
      <protection/>
    </xf>
    <xf numFmtId="4" fontId="24" fillId="24" borderId="15" xfId="0" applyNumberFormat="1" applyFont="1" applyFill="1" applyBorder="1" applyAlignment="1" applyProtection="1">
      <alignment horizontal="center" vertical="center" shrinkToFit="1"/>
      <protection/>
    </xf>
    <xf numFmtId="4" fontId="24" fillId="24" borderId="16" xfId="0" applyNumberFormat="1" applyFont="1" applyFill="1" applyBorder="1" applyAlignment="1" applyProtection="1">
      <alignment horizontal="center" vertical="center" shrinkToFit="1"/>
      <protection/>
    </xf>
    <xf numFmtId="4" fontId="28" fillId="7" borderId="28" xfId="0" applyNumberFormat="1" applyFont="1" applyFill="1" applyBorder="1" applyAlignment="1" applyProtection="1">
      <alignment horizontal="center" vertical="center"/>
      <protection/>
    </xf>
    <xf numFmtId="4" fontId="28" fillId="7" borderId="15" xfId="0" applyNumberFormat="1" applyFont="1" applyFill="1" applyBorder="1" applyAlignment="1" applyProtection="1">
      <alignment horizontal="center" vertical="center"/>
      <protection/>
    </xf>
    <xf numFmtId="0" fontId="28" fillId="0" borderId="0" xfId="0" applyFont="1" applyAlignment="1" applyProtection="1">
      <alignment horizontal="center" vertical="top" wrapText="1"/>
      <protection/>
    </xf>
    <xf numFmtId="168"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71" fontId="0" fillId="0" borderId="13" xfId="0" applyNumberFormat="1" applyFont="1" applyFill="1" applyBorder="1" applyAlignment="1" applyProtection="1">
      <alignment horizontal="left" vertical="center"/>
      <protection/>
    </xf>
    <xf numFmtId="0" fontId="2"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0" fontId="0" fillId="26" borderId="24" xfId="0" applyNumberFormat="1" applyFont="1" applyFill="1" applyBorder="1" applyAlignment="1" applyProtection="1">
      <alignment vertical="center" wrapText="1"/>
      <protection/>
    </xf>
    <xf numFmtId="0" fontId="0" fillId="26" borderId="24" xfId="0" applyNumberFormat="1" applyFont="1" applyFill="1" applyBorder="1" applyAlignment="1" applyProtection="1">
      <alignment horizontal="center" vertical="center" wrapText="1"/>
      <protection/>
    </xf>
    <xf numFmtId="164" fontId="0" fillId="22" borderId="34" xfId="106"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cel Built-in Normal" xfId="71"/>
    <cellStyle name="Explanatory Text" xfId="72"/>
    <cellStyle name="Good" xfId="73"/>
    <cellStyle name="Heading 1" xfId="74"/>
    <cellStyle name="Heading 2" xfId="75"/>
    <cellStyle name="Heading 3" xfId="76"/>
    <cellStyle name="Heading 4" xfId="77"/>
    <cellStyle name="Incorreto" xfId="78"/>
    <cellStyle name="Input" xfId="79"/>
    <cellStyle name="Linked Cell" xfId="80"/>
    <cellStyle name="Currency" xfId="81"/>
    <cellStyle name="Currency [0]" xfId="82"/>
    <cellStyle name="Moeda 2" xfId="83"/>
    <cellStyle name="Moeda 2 2" xfId="84"/>
    <cellStyle name="Moeda_Composicao BDI v2.1" xfId="85"/>
    <cellStyle name="Neutra" xfId="86"/>
    <cellStyle name="Neutral" xfId="87"/>
    <cellStyle name="Normal 2" xfId="88"/>
    <cellStyle name="Normal 3" xfId="89"/>
    <cellStyle name="Normal_FICHA DE VERIFICAÇÃO PRELIMINAR - Plano R" xfId="90"/>
    <cellStyle name="Nota" xfId="91"/>
    <cellStyle name="Note" xfId="92"/>
    <cellStyle name="Output" xfId="93"/>
    <cellStyle name="Percent" xfId="94"/>
    <cellStyle name="Saída" xfId="95"/>
    <cellStyle name="Comma [0]"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Comma" xfId="106"/>
    <cellStyle name="Vírgula 2" xfId="107"/>
    <cellStyle name="Warning Text" xfId="108"/>
  </cellStyles>
  <dxfs count="435">
    <dxf>
      <font>
        <b/>
        <i val="0"/>
      </font>
      <fill>
        <patternFill>
          <bgColor indexed="55"/>
        </patternFill>
      </fill>
      <border>
        <top style="thin"/>
      </border>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ont>
        <b/>
        <i val="0"/>
      </font>
      <fill>
        <patternFill>
          <bgColor indexed="55"/>
        </patternFill>
      </fill>
      <border>
        <top style="thin"/>
      </border>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ont>
        <b/>
        <i val="0"/>
      </font>
      <fill>
        <patternFill>
          <bgColor indexed="55"/>
        </patternFill>
      </fill>
      <border>
        <top style="thin"/>
      </border>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border>
        <top style="thin"/>
      </border>
    </dxf>
    <dxf>
      <fill>
        <patternFill>
          <bgColor indexed="55"/>
        </patternFill>
      </fill>
    </dxf>
    <dxf>
      <font>
        <color indexed="9"/>
      </font>
      <fill>
        <patternFill patternType="none">
          <bgColor indexed="65"/>
        </patternFill>
      </fill>
      <border>
        <top/>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font>
      <fill>
        <patternFill>
          <bgColor indexed="55"/>
        </patternFill>
      </fill>
      <border>
        <top style="thin"/>
      </border>
    </dxf>
    <dxf>
      <font>
        <color indexed="9"/>
      </font>
      <fill>
        <patternFill patternType="none">
          <bgColor indexed="65"/>
        </patternFill>
      </fill>
      <border>
        <left/>
        <right/>
        <top/>
        <bottom/>
      </border>
    </dxf>
    <dxf>
      <font>
        <b/>
        <i val="0"/>
        <color indexed="9"/>
      </font>
      <fill>
        <patternFill>
          <bgColor indexed="10"/>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ill>
        <patternFill>
          <bgColor indexed="43"/>
        </patternFill>
      </fill>
    </dxf>
    <dxf>
      <font>
        <color indexed="9"/>
      </font>
      <fill>
        <patternFill patternType="none">
          <bgColor indexed="65"/>
        </patternFill>
      </fill>
      <border>
        <left/>
        <right/>
        <top/>
        <bottom/>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dxf>
    <dxf>
      <font>
        <color indexed="17"/>
      </font>
      <border>
        <left style="thin"/>
        <right style="thin"/>
        <top style="thin"/>
        <bottom style="thin"/>
      </border>
    </dxf>
    <dxf>
      <font>
        <color indexed="10"/>
      </font>
      <border>
        <left style="thin"/>
        <right style="thin"/>
        <top style="thin"/>
        <bottom style="thin"/>
      </border>
    </dxf>
    <dxf>
      <fill>
        <patternFill>
          <bgColor rgb="FFFFFF9E"/>
        </patternFill>
      </fill>
    </dxf>
    <dxf>
      <font>
        <color indexed="9"/>
      </font>
      <fill>
        <patternFill>
          <bgColor indexed="9"/>
        </patternFill>
      </fill>
      <border>
        <left/>
        <right/>
        <top/>
        <bottom/>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fill>
        <patternFill patternType="none">
          <bgColor indexed="65"/>
        </patternFill>
      </fill>
      <border>
        <left/>
        <right/>
        <top/>
        <bottom/>
      </border>
    </dxf>
    <dxf>
      <fill>
        <patternFill patternType="none">
          <bgColor indexed="65"/>
        </patternFill>
      </fill>
    </dxf>
    <dxf>
      <font>
        <color indexed="9"/>
      </font>
      <fill>
        <patternFill patternType="none">
          <bgColor indexed="65"/>
        </patternFill>
      </fill>
      <border>
        <left/>
        <right/>
        <top/>
        <bottom/>
      </border>
    </dxf>
    <dxf>
      <font>
        <color indexed="9"/>
      </font>
      <fill>
        <patternFill>
          <bgColor indexed="9"/>
        </patternFill>
      </fill>
      <border>
        <left/>
        <right/>
        <top/>
        <bottom/>
      </border>
    </dxf>
    <dxf>
      <fill>
        <patternFill patternType="none">
          <bgColor indexed="65"/>
        </patternFill>
      </fill>
    </dxf>
    <dxf>
      <fill>
        <patternFill patternType="none">
          <bgColor indexed="65"/>
        </patternFill>
      </fill>
    </dxf>
    <dxf>
      <font>
        <color rgb="FFFF0000"/>
      </font>
      <border>
        <left style="thin">
          <color rgb="FF000000"/>
        </left>
        <right style="thin">
          <color rgb="FF000000"/>
        </right>
        <top style="thin"/>
        <bottom style="thin">
          <color rgb="FF000000"/>
        </bottom>
      </border>
    </dxf>
    <dxf>
      <font>
        <color rgb="FF008000"/>
      </font>
      <border>
        <left style="thin">
          <color rgb="FF000000"/>
        </left>
        <right style="thin">
          <color rgb="FF000000"/>
        </right>
        <top style="thin"/>
        <bottom style="thin">
          <color rgb="FF000000"/>
        </bottom>
      </border>
    </dxf>
    <dxf>
      <font>
        <b/>
        <i val="0"/>
        <color theme="1"/>
      </font>
      <fill>
        <patternFill>
          <bgColor theme="0" tint="-0.149959996342659"/>
        </patternFill>
      </fill>
      <border>
        <left style="thin">
          <color rgb="FF000000"/>
        </left>
        <right style="thin">
          <color rgb="FF000000"/>
        </right>
        <top style="thin"/>
        <bottom style="thin">
          <color rgb="FF000000"/>
        </bottom>
      </border>
    </dxf>
    <dxf>
      <font>
        <b/>
        <i val="0"/>
      </font>
      <fill>
        <patternFill>
          <bgColor rgb="FF969696"/>
        </patternFill>
      </fill>
      <border>
        <top style="thin">
          <color rgb="FF000000"/>
        </top>
      </border>
    </dxf>
    <dxf>
      <font>
        <b/>
        <i val="0"/>
        <color rgb="FF969696"/>
      </font>
      <fill>
        <patternFill>
          <bgColor rgb="FF969696"/>
        </patternFill>
      </fill>
      <border>
        <top style="thin">
          <color rgb="FF000000"/>
        </top>
      </border>
    </dxf>
    <dxf>
      <font>
        <b val="0"/>
        <i val="0"/>
        <color rgb="FF969696"/>
      </font>
      <fill>
        <patternFill>
          <bgColor rgb="FF969696"/>
        </patternFill>
      </fill>
      <border>
        <top style="thin">
          <color rgb="FF000000"/>
        </top>
      </border>
    </dxf>
    <dxf>
      <font>
        <b/>
        <i val="0"/>
        <u val="single"/>
        <color auto="1"/>
      </font>
      <fill>
        <patternFill>
          <bgColor rgb="FF969696"/>
        </patternFill>
      </fill>
      <border>
        <top style="thin">
          <color rgb="FF000000"/>
        </top>
      </border>
    </dxf>
    <dxf>
      <border>
        <top style="thin">
          <color rgb="FF000000"/>
        </top>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5.emf" /><Relationship Id="rId7"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5.emf" /><Relationship Id="rId9" Type="http://schemas.openxmlformats.org/officeDocument/2006/relationships/image" Target="../media/image6.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5.emf" /><Relationship Id="rId13" Type="http://schemas.openxmlformats.org/officeDocument/2006/relationships/image" Target="../media/image6.emf" /><Relationship Id="rId1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xdr:nvSpPr>
        <xdr:cNvPr id="1" name="FiltroButton"/>
        <xdr:cNvSpPr txBox="1">
          <a:spLocks noChangeArrowheads="1"/>
        </xdr:cNvSpPr>
      </xdr:nvSpPr>
      <xdr:spPr>
        <a:xfrm>
          <a:off x="7629525" y="885825"/>
          <a:ext cx="1057275" cy="342900"/>
        </a:xfrm>
        <a:prstGeom prst="rect">
          <a:avLst/>
        </a:prstGeom>
        <a:solidFill>
          <a:srgbClr val="E3E3E3"/>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Adicionar BDI</a:t>
          </a:r>
        </a:p>
      </xdr:txBody>
    </xdr:sp>
    <xdr:clientData fPrintsWithSheet="0"/>
  </xdr:twoCellAnchor>
  <xdr:oneCellAnchor>
    <xdr:from>
      <xdr:col>8</xdr:col>
      <xdr:colOff>28575</xdr:colOff>
      <xdr:row>0</xdr:row>
      <xdr:rowOff>19050</xdr:rowOff>
    </xdr:from>
    <xdr:ext cx="1790700" cy="381000"/>
    <xdr:sp>
      <xdr:nvSpPr>
        <xdr:cNvPr id="2" name="Object 476" hidden="1"/>
        <xdr:cNvSpPr>
          <a:spLocks/>
        </xdr:cNvSpPr>
      </xdr:nvSpPr>
      <xdr:spPr>
        <a:xfrm>
          <a:off x="28575" y="19050"/>
          <a:ext cx="17907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28575</xdr:colOff>
      <xdr:row>0</xdr:row>
      <xdr:rowOff>19050</xdr:rowOff>
    </xdr:from>
    <xdr:to>
      <xdr:col>10</xdr:col>
      <xdr:colOff>390525</xdr:colOff>
      <xdr:row>2</xdr:row>
      <xdr:rowOff>47625</xdr:rowOff>
    </xdr:to>
    <xdr:pic>
      <xdr:nvPicPr>
        <xdr:cNvPr id="3" name="Picture 476"/>
        <xdr:cNvPicPr preferRelativeResize="1">
          <a:picLocks noChangeAspect="1"/>
        </xdr:cNvPicPr>
      </xdr:nvPicPr>
      <xdr:blipFill>
        <a:blip r:embed="rId1"/>
        <a:stretch>
          <a:fillRect/>
        </a:stretch>
      </xdr:blipFill>
      <xdr:spPr>
        <a:xfrm>
          <a:off x="28575" y="19050"/>
          <a:ext cx="17907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0</xdr:row>
      <xdr:rowOff>19050</xdr:rowOff>
    </xdr:from>
    <xdr:ext cx="1800225" cy="381000"/>
    <xdr:sp>
      <xdr:nvSpPr>
        <xdr:cNvPr id="1" name="Object 5675" hidden="1"/>
        <xdr:cNvSpPr>
          <a:spLocks/>
        </xdr:cNvSpPr>
      </xdr:nvSpPr>
      <xdr:spPr>
        <a:xfrm>
          <a:off x="638175" y="19050"/>
          <a:ext cx="18002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10</xdr:col>
      <xdr:colOff>57150</xdr:colOff>
      <xdr:row>0</xdr:row>
      <xdr:rowOff>19050</xdr:rowOff>
    </xdr:from>
    <xdr:to>
      <xdr:col>11</xdr:col>
      <xdr:colOff>1009650</xdr:colOff>
      <xdr:row>2</xdr:row>
      <xdr:rowOff>76200</xdr:rowOff>
    </xdr:to>
    <xdr:pic>
      <xdr:nvPicPr>
        <xdr:cNvPr id="2" name="Picture 5675"/>
        <xdr:cNvPicPr preferRelativeResize="1">
          <a:picLocks noChangeAspect="1"/>
        </xdr:cNvPicPr>
      </xdr:nvPicPr>
      <xdr:blipFill>
        <a:blip r:embed="rId1"/>
        <a:stretch>
          <a:fillRect/>
        </a:stretch>
      </xdr:blipFill>
      <xdr:spPr>
        <a:xfrm>
          <a:off x="638175" y="19050"/>
          <a:ext cx="18002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28575</xdr:rowOff>
    </xdr:from>
    <xdr:ext cx="1790700" cy="381000"/>
    <xdr:sp>
      <xdr:nvSpPr>
        <xdr:cNvPr id="1" name="Object 13472" hidden="1"/>
        <xdr:cNvSpPr>
          <a:spLocks/>
        </xdr:cNvSpPr>
      </xdr:nvSpPr>
      <xdr:spPr>
        <a:xfrm>
          <a:off x="876300" y="28575"/>
          <a:ext cx="17907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28575</xdr:colOff>
      <xdr:row>8</xdr:row>
      <xdr:rowOff>123825</xdr:rowOff>
    </xdr:from>
    <xdr:to>
      <xdr:col>4</xdr:col>
      <xdr:colOff>800100</xdr:colOff>
      <xdr:row>8</xdr:row>
      <xdr:rowOff>638175</xdr:rowOff>
    </xdr:to>
    <xdr:sp>
      <xdr:nvSpPr>
        <xdr:cNvPr id="2" name="AutoShape 68" descr="Frente de Obra:"/>
        <xdr:cNvSpPr>
          <a:spLocks/>
        </xdr:cNvSpPr>
      </xdr:nvSpPr>
      <xdr:spPr>
        <a:xfrm>
          <a:off x="5629275" y="2095500"/>
          <a:ext cx="1285875" cy="514350"/>
        </a:xfrm>
        <a:prstGeom prst="rightArrow">
          <a:avLst>
            <a:gd name="adj" fmla="val 27120"/>
          </a:avLst>
        </a:prstGeom>
        <a:solidFill>
          <a:srgbClr val="CCFFCC"/>
        </a:solidFill>
        <a:ln w="9525" cmpd="sng">
          <a:solidFill>
            <a:srgbClr val="000000"/>
          </a:solidFill>
          <a:headEnd type="none"/>
          <a:tailEnd type="none"/>
        </a:ln>
      </xdr:spPr>
      <xdr:txBody>
        <a:bodyPr vertOverflow="clip" wrap="square" lIns="27432" tIns="22860" rIns="27432" bIns="22860"/>
        <a:p>
          <a:pPr algn="l">
            <a:defRPr/>
          </a:pPr>
          <a:r>
            <a:rPr lang="en-US" cap="none" sz="1000" b="1" i="0" u="none" baseline="0">
              <a:solidFill>
                <a:srgbClr val="000000"/>
              </a:solidFill>
              <a:latin typeface="Arial"/>
              <a:ea typeface="Arial"/>
              <a:cs typeface="Arial"/>
            </a:rPr>
            <a:t>Frente de Obra:</a:t>
          </a:r>
        </a:p>
      </xdr:txBody>
    </xdr:sp>
    <xdr:clientData/>
  </xdr:twoCellAnchor>
  <xdr:twoCellAnchor editAs="oneCell">
    <xdr:from>
      <xdr:col>1</xdr:col>
      <xdr:colOff>28575</xdr:colOff>
      <xdr:row>0</xdr:row>
      <xdr:rowOff>28575</xdr:rowOff>
    </xdr:from>
    <xdr:to>
      <xdr:col>2</xdr:col>
      <xdr:colOff>1104900</xdr:colOff>
      <xdr:row>1</xdr:row>
      <xdr:rowOff>190500</xdr:rowOff>
    </xdr:to>
    <xdr:pic>
      <xdr:nvPicPr>
        <xdr:cNvPr id="3" name="Picture 13472"/>
        <xdr:cNvPicPr preferRelativeResize="1">
          <a:picLocks noChangeAspect="1"/>
        </xdr:cNvPicPr>
      </xdr:nvPicPr>
      <xdr:blipFill>
        <a:blip r:embed="rId1"/>
        <a:stretch>
          <a:fillRect/>
        </a:stretch>
      </xdr:blipFill>
      <xdr:spPr>
        <a:xfrm>
          <a:off x="876300" y="28575"/>
          <a:ext cx="17907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0</xdr:row>
      <xdr:rowOff>38100</xdr:rowOff>
    </xdr:from>
    <xdr:ext cx="1790700" cy="381000"/>
    <xdr:sp>
      <xdr:nvSpPr>
        <xdr:cNvPr id="1" name="Object 125890" hidden="1"/>
        <xdr:cNvSpPr>
          <a:spLocks/>
        </xdr:cNvSpPr>
      </xdr:nvSpPr>
      <xdr:spPr>
        <a:xfrm>
          <a:off x="57150" y="38100"/>
          <a:ext cx="17907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628650</xdr:colOff>
      <xdr:row>7</xdr:row>
      <xdr:rowOff>209550</xdr:rowOff>
    </xdr:from>
    <xdr:ext cx="1781175" cy="342900"/>
    <xdr:sp macro="[0]!EditarCRONO">
      <xdr:nvSpPr>
        <xdr:cNvPr id="2" name="AddCFF"/>
        <xdr:cNvSpPr txBox="1">
          <a:spLocks noChangeArrowheads="1"/>
        </xdr:cNvSpPr>
      </xdr:nvSpPr>
      <xdr:spPr>
        <a:xfrm>
          <a:off x="628650" y="1914525"/>
          <a:ext cx="1781175" cy="342900"/>
        </a:xfrm>
        <a:prstGeom prst="rect">
          <a:avLst/>
        </a:prstGeom>
        <a:solidFill>
          <a:srgbClr val="99FF99"/>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EDITAR / ATUALIZAR CRONOGRAMA</a:t>
          </a:r>
        </a:p>
      </xdr:txBody>
    </xdr:sp>
    <xdr:clientData fPrintsWithSheet="0"/>
  </xdr:oneCellAnchor>
  <xdr:twoCellAnchor editAs="oneCell">
    <xdr:from>
      <xdr:col>11</xdr:col>
      <xdr:colOff>57150</xdr:colOff>
      <xdr:row>0</xdr:row>
      <xdr:rowOff>38100</xdr:rowOff>
    </xdr:from>
    <xdr:to>
      <xdr:col>12</xdr:col>
      <xdr:colOff>1133475</xdr:colOff>
      <xdr:row>2</xdr:row>
      <xdr:rowOff>95250</xdr:rowOff>
    </xdr:to>
    <xdr:pic>
      <xdr:nvPicPr>
        <xdr:cNvPr id="3" name="Picture 125890"/>
        <xdr:cNvPicPr preferRelativeResize="1">
          <a:picLocks noChangeAspect="1"/>
        </xdr:cNvPicPr>
      </xdr:nvPicPr>
      <xdr:blipFill>
        <a:blip r:embed="rId1"/>
        <a:stretch>
          <a:fillRect/>
        </a:stretch>
      </xdr:blipFill>
      <xdr:spPr>
        <a:xfrm>
          <a:off x="57150" y="38100"/>
          <a:ext cx="17907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Plan3">
    <tabColor rgb="FFFFC000"/>
    <pageSetUpPr fitToPage="1"/>
  </sheetPr>
  <dimension ref="A1:Y257"/>
  <sheetViews>
    <sheetView showGridLines="0" zoomScaleSheetLayoutView="100" zoomScalePageLayoutView="0" workbookViewId="0" topLeftCell="A64">
      <selection activeCell="A49" sqref="A49"/>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88" t="s">
        <v>2</v>
      </c>
      <c r="C1" s="288"/>
      <c r="D1" s="288"/>
      <c r="E1" s="288"/>
      <c r="F1" s="288"/>
      <c r="G1" s="288"/>
      <c r="H1" s="288"/>
      <c r="I1" s="288"/>
      <c r="J1" s="288"/>
      <c r="K1" s="288"/>
      <c r="L1" s="288"/>
      <c r="M1" s="288"/>
      <c r="N1" s="288"/>
      <c r="O1" s="288"/>
      <c r="P1" s="288"/>
      <c r="Q1" s="288"/>
      <c r="R1" s="288"/>
      <c r="S1" s="288"/>
      <c r="T1" s="288"/>
      <c r="U1" s="288"/>
      <c r="V1" s="288"/>
      <c r="W1" s="288"/>
      <c r="X1" s="289"/>
    </row>
    <row r="2" spans="1:24" ht="13.5" customHeight="1">
      <c r="A2" s="105" t="s">
        <v>229</v>
      </c>
      <c r="B2" s="290"/>
      <c r="C2" s="290"/>
      <c r="D2" s="290"/>
      <c r="E2" s="290"/>
      <c r="F2" s="290"/>
      <c r="G2" s="290"/>
      <c r="H2" s="290"/>
      <c r="I2" s="290"/>
      <c r="J2" s="290"/>
      <c r="K2" s="290"/>
      <c r="L2" s="290"/>
      <c r="M2" s="290"/>
      <c r="N2" s="290"/>
      <c r="O2" s="290"/>
      <c r="P2" s="290"/>
      <c r="Q2" s="290"/>
      <c r="R2" s="290"/>
      <c r="S2" s="290"/>
      <c r="T2" s="290"/>
      <c r="U2" s="290"/>
      <c r="V2" s="290"/>
      <c r="W2" s="290"/>
      <c r="X2" s="291"/>
    </row>
    <row r="3" spans="1:8" ht="13.5" customHeight="1">
      <c r="A3" s="1"/>
      <c r="B3" s="1"/>
      <c r="F3" s="1"/>
      <c r="G3" s="1"/>
      <c r="H3" s="1"/>
    </row>
    <row r="4" spans="1:24" s="21" customFormat="1" ht="12.75" customHeight="1">
      <c r="A4" s="301" t="s">
        <v>169</v>
      </c>
      <c r="B4" s="301"/>
      <c r="C4" s="301"/>
      <c r="D4" s="301"/>
      <c r="E4" s="301"/>
      <c r="F4" s="301"/>
      <c r="G4" s="301"/>
      <c r="H4" s="301"/>
      <c r="I4" s="301"/>
      <c r="J4" s="301"/>
      <c r="K4" s="301"/>
      <c r="L4" s="301"/>
      <c r="M4" s="301"/>
      <c r="N4" s="301"/>
      <c r="O4" s="301"/>
      <c r="P4" s="301"/>
      <c r="Q4" s="301"/>
      <c r="R4" s="301"/>
      <c r="S4" s="301"/>
      <c r="T4" s="301"/>
      <c r="U4" s="301"/>
      <c r="V4" s="301"/>
      <c r="W4" s="301"/>
      <c r="X4" s="301"/>
    </row>
    <row r="5" spans="1:8" s="21" customFormat="1" ht="12.75">
      <c r="A5" s="22"/>
      <c r="B5" s="22"/>
      <c r="F5" s="23"/>
      <c r="G5" s="23"/>
      <c r="H5" s="23"/>
    </row>
    <row r="6" spans="1:24" s="22" customFormat="1" ht="24.75" customHeight="1">
      <c r="A6" s="302" t="s">
        <v>180</v>
      </c>
      <c r="B6" s="303"/>
      <c r="C6" s="303"/>
      <c r="D6" s="303"/>
      <c r="E6" s="303"/>
      <c r="F6" s="303"/>
      <c r="G6" s="303"/>
      <c r="H6" s="303"/>
      <c r="I6" s="303"/>
      <c r="J6" s="303"/>
      <c r="K6" s="303"/>
      <c r="L6" s="303"/>
      <c r="M6" s="303"/>
      <c r="N6" s="303"/>
      <c r="O6" s="303"/>
      <c r="P6" s="303"/>
      <c r="Q6" s="303"/>
      <c r="R6" s="303"/>
      <c r="S6" s="303"/>
      <c r="T6" s="303"/>
      <c r="U6" s="303"/>
      <c r="V6" s="303"/>
      <c r="W6" s="303"/>
      <c r="X6" s="303"/>
    </row>
    <row r="7" spans="1:8" s="21" customFormat="1" ht="12.75" customHeight="1">
      <c r="A7" s="22"/>
      <c r="B7" s="22"/>
      <c r="F7" s="23"/>
      <c r="G7" s="23"/>
      <c r="H7" s="23"/>
    </row>
    <row r="8" spans="1:25" s="21" customFormat="1" ht="12.75" customHeight="1">
      <c r="A8" s="304" t="s">
        <v>23</v>
      </c>
      <c r="B8" s="304"/>
      <c r="C8" s="304"/>
      <c r="D8" s="304"/>
      <c r="E8" s="304"/>
      <c r="F8" s="304"/>
      <c r="G8" s="304"/>
      <c r="H8" s="304"/>
      <c r="I8" s="304"/>
      <c r="J8" s="304"/>
      <c r="K8" s="304"/>
      <c r="L8" s="304"/>
      <c r="M8" s="304"/>
      <c r="N8" s="304"/>
      <c r="O8" s="304"/>
      <c r="P8" s="304"/>
      <c r="Q8" s="304"/>
      <c r="R8" s="304"/>
      <c r="S8" s="304"/>
      <c r="T8" s="304"/>
      <c r="U8" s="304"/>
      <c r="V8" s="304"/>
      <c r="W8" s="304"/>
      <c r="X8" s="304"/>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306" t="s">
        <v>170</v>
      </c>
      <c r="B10" s="306"/>
      <c r="C10" s="306"/>
      <c r="D10" s="306"/>
      <c r="E10" s="306"/>
      <c r="F10" s="306"/>
      <c r="G10" s="306"/>
      <c r="H10" s="306"/>
      <c r="I10" s="306"/>
      <c r="J10" s="306"/>
      <c r="K10" s="306"/>
      <c r="L10" s="306"/>
      <c r="M10" s="306"/>
      <c r="N10" s="306"/>
      <c r="O10" s="306"/>
      <c r="P10" s="306"/>
      <c r="Q10" s="306"/>
      <c r="R10" s="306"/>
      <c r="S10" s="306"/>
      <c r="T10" s="306"/>
      <c r="U10" s="306"/>
      <c r="V10" s="306"/>
      <c r="W10" s="306"/>
      <c r="X10" s="306"/>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75" customHeight="1">
      <c r="A12" s="306" t="s">
        <v>1</v>
      </c>
      <c r="B12" s="306"/>
      <c r="C12" s="306"/>
      <c r="D12" s="306"/>
      <c r="E12" s="306"/>
      <c r="F12" s="306"/>
      <c r="G12" s="306"/>
      <c r="H12" s="306"/>
      <c r="I12" s="306"/>
      <c r="J12" s="306"/>
      <c r="K12" s="306"/>
      <c r="L12" s="306"/>
      <c r="M12" s="306"/>
      <c r="N12" s="306"/>
      <c r="O12" s="306"/>
      <c r="P12" s="306"/>
      <c r="Q12" s="306"/>
      <c r="R12" s="306"/>
      <c r="S12" s="306"/>
      <c r="T12" s="306"/>
      <c r="U12" s="306"/>
      <c r="V12" s="306"/>
      <c r="W12" s="306"/>
      <c r="X12" s="306"/>
    </row>
    <row r="13" spans="1:8" s="21" customFormat="1" ht="12.75">
      <c r="A13" s="22"/>
      <c r="B13" s="22"/>
      <c r="F13" s="23"/>
      <c r="G13" s="23"/>
      <c r="H13" s="23"/>
    </row>
    <row r="14" spans="1:24" s="21" customFormat="1" ht="12.75">
      <c r="A14" s="305" t="s">
        <v>24</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row>
    <row r="15" spans="1:8" s="21" customFormat="1" ht="12.75">
      <c r="A15" s="22"/>
      <c r="B15" s="22"/>
      <c r="F15" s="23"/>
      <c r="G15" s="23"/>
      <c r="H15" s="23"/>
    </row>
    <row r="16" spans="1:24" s="21" customFormat="1" ht="12.75">
      <c r="A16" s="313" t="s">
        <v>187</v>
      </c>
      <c r="B16" s="314"/>
      <c r="C16" s="314"/>
      <c r="D16" s="314"/>
      <c r="E16" s="314"/>
      <c r="F16" s="314"/>
      <c r="G16" s="314"/>
      <c r="H16" s="314"/>
      <c r="I16" s="314"/>
      <c r="J16" s="314"/>
      <c r="K16" s="314"/>
      <c r="L16" s="314"/>
      <c r="M16" s="314"/>
      <c r="N16" s="314"/>
      <c r="O16" s="314"/>
      <c r="P16" s="314"/>
      <c r="Q16" s="314"/>
      <c r="R16" s="314"/>
      <c r="S16" s="314"/>
      <c r="T16" s="314"/>
      <c r="U16" s="314"/>
      <c r="V16" s="314"/>
      <c r="W16" s="314"/>
      <c r="X16" s="314"/>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84" t="s">
        <v>188</v>
      </c>
      <c r="B18" s="284"/>
      <c r="C18" s="285"/>
      <c r="D18" s="285"/>
      <c r="E18" s="285"/>
      <c r="F18" s="285"/>
      <c r="G18" s="285"/>
      <c r="H18" s="285"/>
      <c r="I18" s="285"/>
      <c r="J18" s="285"/>
      <c r="K18" s="285"/>
      <c r="L18" s="285"/>
      <c r="M18" s="285"/>
      <c r="N18" s="285"/>
      <c r="O18" s="285"/>
      <c r="P18" s="285"/>
      <c r="Q18" s="285"/>
      <c r="R18" s="285"/>
      <c r="S18" s="285"/>
      <c r="T18" s="285"/>
      <c r="U18" s="285"/>
      <c r="V18" s="285"/>
      <c r="W18" s="285"/>
      <c r="X18" s="285"/>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313" t="s">
        <v>190</v>
      </c>
      <c r="B22" s="314"/>
      <c r="C22" s="314"/>
      <c r="D22" s="314"/>
      <c r="E22" s="314"/>
      <c r="F22" s="314"/>
      <c r="G22" s="314"/>
      <c r="H22" s="314"/>
      <c r="I22" s="314"/>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84" t="s">
        <v>191</v>
      </c>
      <c r="B24" s="284"/>
      <c r="C24" s="285"/>
      <c r="D24" s="285"/>
      <c r="E24" s="285"/>
      <c r="F24" s="285"/>
      <c r="G24" s="285"/>
      <c r="H24" s="285"/>
      <c r="I24" s="285"/>
      <c r="J24" s="285"/>
      <c r="K24" s="285"/>
      <c r="L24" s="285"/>
      <c r="M24" s="285"/>
      <c r="N24" s="285"/>
      <c r="O24" s="285"/>
      <c r="P24" s="285"/>
      <c r="Q24" s="285"/>
      <c r="R24" s="285"/>
      <c r="S24" s="285"/>
      <c r="T24" s="285"/>
      <c r="U24" s="285"/>
      <c r="V24" s="285"/>
      <c r="W24" s="285"/>
      <c r="X24" s="285"/>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50" t="s">
        <v>192</v>
      </c>
      <c r="B26" s="250"/>
      <c r="C26" s="251"/>
      <c r="D26" s="251"/>
      <c r="E26" s="251"/>
      <c r="F26" s="251"/>
      <c r="G26" s="251"/>
      <c r="H26" s="251"/>
      <c r="I26" s="251"/>
      <c r="J26" s="251"/>
      <c r="K26" s="251"/>
      <c r="L26" s="251"/>
      <c r="M26" s="251"/>
      <c r="N26" s="251"/>
      <c r="O26" s="251"/>
      <c r="P26" s="251"/>
      <c r="Q26" s="251"/>
      <c r="R26" s="251"/>
      <c r="S26" s="251"/>
      <c r="T26" s="251"/>
      <c r="U26" s="251"/>
      <c r="V26" s="251"/>
      <c r="W26" s="251"/>
      <c r="X26" s="251"/>
    </row>
    <row r="27" spans="1:8" s="21" customFormat="1" ht="6" customHeight="1">
      <c r="A27" s="25"/>
      <c r="B27" s="25"/>
      <c r="F27" s="23"/>
      <c r="G27" s="23"/>
      <c r="H27" s="23"/>
    </row>
    <row r="28" spans="1:24" ht="12.75" customHeight="1">
      <c r="A28" s="239" t="s">
        <v>178</v>
      </c>
      <c r="B28" s="241"/>
      <c r="C28" s="239" t="s">
        <v>171</v>
      </c>
      <c r="D28" s="240"/>
      <c r="E28" s="241"/>
      <c r="F28" s="239" t="s">
        <v>172</v>
      </c>
      <c r="G28" s="240"/>
      <c r="H28" s="240"/>
      <c r="I28" s="241"/>
      <c r="J28" s="239" t="s">
        <v>173</v>
      </c>
      <c r="K28" s="240"/>
      <c r="L28" s="240"/>
      <c r="M28" s="240"/>
      <c r="N28" s="240"/>
      <c r="O28" s="241"/>
      <c r="P28" s="239" t="s">
        <v>0</v>
      </c>
      <c r="Q28" s="240"/>
      <c r="R28" s="240"/>
      <c r="S28" s="240"/>
      <c r="T28" s="240"/>
      <c r="U28" s="240"/>
      <c r="V28" s="240"/>
      <c r="W28" s="240"/>
      <c r="X28" s="241"/>
    </row>
    <row r="29" spans="1:24" ht="12.75" customHeight="1">
      <c r="A29" s="310"/>
      <c r="B29" s="246"/>
      <c r="C29" s="242"/>
      <c r="D29" s="243"/>
      <c r="E29" s="244"/>
      <c r="F29" s="242"/>
      <c r="G29" s="245"/>
      <c r="H29" s="245"/>
      <c r="I29" s="246"/>
      <c r="J29" s="242"/>
      <c r="K29" s="245"/>
      <c r="L29" s="245"/>
      <c r="M29" s="245"/>
      <c r="N29" s="245"/>
      <c r="O29" s="246"/>
      <c r="P29" s="242" t="s">
        <v>266</v>
      </c>
      <c r="Q29" s="245"/>
      <c r="R29" s="245"/>
      <c r="S29" s="245"/>
      <c r="T29" s="245"/>
      <c r="U29" s="245"/>
      <c r="V29" s="245"/>
      <c r="W29" s="245"/>
      <c r="X29" s="246"/>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39" t="s">
        <v>174</v>
      </c>
      <c r="B31" s="240"/>
      <c r="C31" s="240"/>
      <c r="D31" s="240"/>
      <c r="E31" s="240"/>
      <c r="F31" s="241"/>
      <c r="G31" s="239" t="s">
        <v>175</v>
      </c>
      <c r="H31" s="240"/>
      <c r="I31" s="240"/>
      <c r="J31" s="241"/>
      <c r="K31" s="239" t="s">
        <v>176</v>
      </c>
      <c r="L31" s="240"/>
      <c r="M31" s="240"/>
      <c r="N31" s="240"/>
      <c r="O31" s="240"/>
      <c r="P31" s="241"/>
      <c r="Q31" s="239" t="s">
        <v>181</v>
      </c>
      <c r="R31" s="240"/>
      <c r="S31" s="240"/>
      <c r="T31" s="240"/>
      <c r="U31" s="240"/>
      <c r="V31" s="240"/>
      <c r="W31" s="240"/>
      <c r="X31" s="241"/>
    </row>
    <row r="32" spans="1:24" ht="12.75">
      <c r="A32" s="247"/>
      <c r="B32" s="248"/>
      <c r="C32" s="248"/>
      <c r="D32" s="248"/>
      <c r="E32" s="248"/>
      <c r="F32" s="249"/>
      <c r="G32" s="242" t="s">
        <v>230</v>
      </c>
      <c r="H32" s="243"/>
      <c r="I32" s="243"/>
      <c r="J32" s="244"/>
      <c r="K32" s="242" t="s">
        <v>237</v>
      </c>
      <c r="L32" s="245"/>
      <c r="M32" s="245"/>
      <c r="N32" s="245"/>
      <c r="O32" s="245"/>
      <c r="P32" s="246"/>
      <c r="Q32" s="242" t="s">
        <v>265</v>
      </c>
      <c r="R32" s="245"/>
      <c r="S32" s="245"/>
      <c r="T32" s="245"/>
      <c r="U32" s="245"/>
      <c r="V32" s="245"/>
      <c r="W32" s="245"/>
      <c r="X32" s="246"/>
    </row>
    <row r="33" spans="1:8" s="21" customFormat="1" ht="9" customHeight="1">
      <c r="A33" s="22"/>
      <c r="B33" s="22"/>
      <c r="F33" s="23"/>
      <c r="G33" s="23"/>
      <c r="H33" s="23"/>
    </row>
    <row r="34" s="27" customFormat="1" ht="12.75"/>
    <row r="35" spans="1:24" s="21" customFormat="1" ht="12.75" customHeight="1">
      <c r="A35" s="250" t="s">
        <v>193</v>
      </c>
      <c r="B35" s="250"/>
      <c r="C35" s="251"/>
      <c r="D35" s="251"/>
      <c r="E35" s="251"/>
      <c r="F35" s="251"/>
      <c r="G35" s="251"/>
      <c r="H35" s="251"/>
      <c r="I35" s="251"/>
      <c r="J35" s="251"/>
      <c r="K35" s="251"/>
      <c r="L35" s="251"/>
      <c r="M35" s="251"/>
      <c r="N35" s="251"/>
      <c r="O35" s="251"/>
      <c r="P35" s="251"/>
      <c r="Q35" s="251"/>
      <c r="R35" s="251"/>
      <c r="S35" s="251"/>
      <c r="T35" s="251"/>
      <c r="U35" s="251"/>
      <c r="V35" s="251"/>
      <c r="W35" s="251"/>
      <c r="X35" s="251"/>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39" t="s">
        <v>16</v>
      </c>
      <c r="B37" s="241"/>
      <c r="C37" s="92" t="s">
        <v>91</v>
      </c>
      <c r="D37" s="239" t="s">
        <v>14</v>
      </c>
      <c r="E37" s="240"/>
      <c r="F37" s="241"/>
      <c r="G37" s="239" t="s">
        <v>12</v>
      </c>
      <c r="H37" s="240"/>
      <c r="I37" s="240"/>
      <c r="J37" s="240"/>
      <c r="K37" s="240"/>
      <c r="L37" s="240"/>
      <c r="M37" s="240"/>
      <c r="N37" s="240"/>
      <c r="O37" s="240"/>
      <c r="P37" s="240"/>
      <c r="Q37" s="240"/>
      <c r="R37" s="240"/>
      <c r="S37" s="241"/>
      <c r="T37" s="93" t="s">
        <v>7</v>
      </c>
      <c r="U37" s="93" t="s">
        <v>8</v>
      </c>
      <c r="V37" s="93" t="s">
        <v>9</v>
      </c>
      <c r="W37" s="93" t="s">
        <v>10</v>
      </c>
      <c r="X37" s="93" t="s">
        <v>11</v>
      </c>
    </row>
    <row r="38" spans="1:24" s="21" customFormat="1" ht="12.75" customHeight="1">
      <c r="A38" s="274">
        <v>43862</v>
      </c>
      <c r="B38" s="275"/>
      <c r="C38" s="91" t="s">
        <v>241</v>
      </c>
      <c r="D38" s="242" t="s">
        <v>66</v>
      </c>
      <c r="E38" s="243"/>
      <c r="F38" s="244"/>
      <c r="G38" s="242" t="s">
        <v>233</v>
      </c>
      <c r="H38" s="243"/>
      <c r="I38" s="243"/>
      <c r="J38" s="243"/>
      <c r="K38" s="243"/>
      <c r="L38" s="243"/>
      <c r="M38" s="243"/>
      <c r="N38" s="243"/>
      <c r="O38" s="243"/>
      <c r="P38" s="243"/>
      <c r="Q38" s="243"/>
      <c r="R38" s="243"/>
      <c r="S38" s="244"/>
      <c r="T38" s="95">
        <f ca="1">IF(ISERROR(INDIRECT("'BDI ("&amp;RIGHT(T37,1)&amp;")'!N27")),"",INDIRECT("'BDI ("&amp;RIGHT(T37,1)&amp;")'!N27"))</f>
        <v>0.2231</v>
      </c>
      <c r="U38" s="96">
        <f ca="1">IF(ISERROR(INDIRECT("'BDI ("&amp;RIGHT(U37,1)&amp;")'!N27")),"",INDIRECT("'BDI ("&amp;RIGHT(U37,1)&amp;")'!N27"))</f>
      </c>
      <c r="V38" s="96">
        <f ca="1">IF(ISERROR(INDIRECT("'BDI ("&amp;RIGHT(V37,1)&amp;")'!N27")),"",INDIRECT("'BDI ("&amp;RIGHT(V37,1)&amp;")'!N27"))</f>
      </c>
      <c r="W38" s="96">
        <f ca="1">IF(ISERROR(INDIRECT("'BDI ("&amp;RIGHT(W37,1)&amp;")'!N27")),"",INDIRECT("'BDI ("&amp;RIGHT(W37,1)&amp;")'!N27"))</f>
      </c>
      <c r="X38" s="96">
        <f ca="1">IF(ISERROR(INDIRECT("'BDI ("&amp;RIGHT(X37,1)&amp;")'!N27")),"",INDIRECT("'BDI ("&amp;RIGHT(X37,1)&amp;")'!N27"))</f>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50" t="s">
        <v>163</v>
      </c>
      <c r="B40" s="250"/>
      <c r="C40" s="251"/>
      <c r="D40" s="251"/>
      <c r="E40" s="251"/>
      <c r="F40" s="251"/>
      <c r="G40" s="251"/>
      <c r="H40" s="251"/>
      <c r="I40" s="251"/>
      <c r="J40" s="251"/>
      <c r="K40" s="251"/>
      <c r="L40" s="251"/>
      <c r="M40" s="251"/>
      <c r="N40" s="251"/>
      <c r="O40" s="251"/>
      <c r="P40" s="251"/>
      <c r="Q40" s="251"/>
      <c r="R40" s="251"/>
      <c r="S40" s="251"/>
      <c r="T40" s="251"/>
      <c r="U40" s="251"/>
      <c r="V40" s="251"/>
      <c r="W40" s="251"/>
      <c r="X40" s="251"/>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39" t="s">
        <v>87</v>
      </c>
      <c r="B42" s="241"/>
      <c r="C42" s="239" t="s">
        <v>112</v>
      </c>
      <c r="D42" s="240"/>
      <c r="E42" s="240"/>
      <c r="F42" s="240"/>
      <c r="G42" s="240"/>
      <c r="H42" s="239" t="s">
        <v>16</v>
      </c>
      <c r="I42" s="240"/>
      <c r="J42" s="28" t="s">
        <v>91</v>
      </c>
      <c r="K42" s="239" t="s">
        <v>88</v>
      </c>
      <c r="L42" s="240"/>
      <c r="M42" s="241"/>
      <c r="N42" s="28" t="s">
        <v>92</v>
      </c>
      <c r="O42" s="239" t="s">
        <v>93</v>
      </c>
      <c r="P42" s="240"/>
      <c r="Q42" s="240"/>
      <c r="R42" s="240"/>
      <c r="S42" s="240"/>
      <c r="T42" s="241"/>
      <c r="U42" s="292" t="s">
        <v>89</v>
      </c>
      <c r="V42" s="293"/>
      <c r="W42" s="292" t="s">
        <v>90</v>
      </c>
      <c r="X42" s="293"/>
    </row>
    <row r="43" spans="1:24" s="21" customFormat="1" ht="12.75" customHeight="1">
      <c r="A43" s="308"/>
      <c r="B43" s="309"/>
      <c r="C43" s="242"/>
      <c r="D43" s="243"/>
      <c r="E43" s="243"/>
      <c r="F43" s="243"/>
      <c r="G43" s="243"/>
      <c r="H43" s="274"/>
      <c r="I43" s="275"/>
      <c r="J43" s="88"/>
      <c r="K43" s="252"/>
      <c r="L43" s="253"/>
      <c r="M43" s="254"/>
      <c r="N43" s="104"/>
      <c r="O43" s="296"/>
      <c r="P43" s="297"/>
      <c r="Q43" s="297"/>
      <c r="R43" s="298"/>
      <c r="S43" s="298"/>
      <c r="T43" s="299"/>
      <c r="U43" s="294"/>
      <c r="V43" s="300"/>
      <c r="W43" s="294"/>
      <c r="X43" s="295"/>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50" t="s">
        <v>194</v>
      </c>
      <c r="B45" s="250"/>
      <c r="C45" s="251"/>
      <c r="D45" s="251"/>
      <c r="E45" s="251"/>
      <c r="F45" s="251"/>
      <c r="G45" s="251"/>
      <c r="H45" s="251"/>
      <c r="I45" s="251"/>
      <c r="J45" s="251"/>
      <c r="K45" s="251"/>
      <c r="L45" s="251"/>
      <c r="M45" s="251"/>
      <c r="N45" s="251"/>
      <c r="O45" s="251"/>
      <c r="P45" s="251"/>
      <c r="Q45" s="251"/>
      <c r="R45" s="251"/>
      <c r="S45" s="251"/>
      <c r="T45" s="251"/>
      <c r="U45" s="251"/>
      <c r="V45" s="251"/>
      <c r="W45" s="251"/>
      <c r="X45" s="251"/>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78">
        <v>44075</v>
      </c>
      <c r="B48" s="279"/>
      <c r="C48" s="280"/>
      <c r="E48" s="37"/>
    </row>
    <row r="49" spans="1:8" s="21" customFormat="1" ht="12.75">
      <c r="A49" s="22"/>
      <c r="B49" s="22"/>
      <c r="F49" s="33"/>
      <c r="G49" s="34"/>
      <c r="H49" s="35"/>
    </row>
    <row r="50" spans="1:24" s="21" customFormat="1" ht="12.75">
      <c r="A50" s="250" t="s">
        <v>195</v>
      </c>
      <c r="B50" s="250"/>
      <c r="C50" s="251"/>
      <c r="D50" s="251"/>
      <c r="E50" s="251"/>
      <c r="F50" s="251"/>
      <c r="G50" s="251"/>
      <c r="H50" s="251"/>
      <c r="I50" s="251"/>
      <c r="J50" s="251"/>
      <c r="K50" s="251"/>
      <c r="L50" s="251"/>
      <c r="M50" s="251"/>
      <c r="N50" s="251"/>
      <c r="O50" s="251"/>
      <c r="P50" s="251"/>
      <c r="Q50" s="251"/>
      <c r="R50" s="251"/>
      <c r="S50" s="251"/>
      <c r="T50" s="251"/>
      <c r="U50" s="251"/>
      <c r="V50" s="251"/>
      <c r="W50" s="251"/>
      <c r="X50" s="251"/>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104</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141</v>
      </c>
      <c r="B54" s="282"/>
      <c r="C54" s="283"/>
      <c r="D54" s="283"/>
      <c r="E54" s="283"/>
      <c r="F54" s="33"/>
      <c r="G54" s="101" t="s">
        <v>141</v>
      </c>
      <c r="H54" s="283"/>
      <c r="I54" s="283"/>
      <c r="J54" s="283"/>
      <c r="K54" s="283"/>
      <c r="L54" s="2"/>
      <c r="M54"/>
      <c r="N54"/>
      <c r="O54"/>
      <c r="P54"/>
      <c r="Q54"/>
      <c r="R54"/>
      <c r="S54"/>
      <c r="T54"/>
      <c r="U54"/>
      <c r="V54"/>
      <c r="W54"/>
      <c r="X54"/>
    </row>
    <row r="55" spans="1:24" s="21" customFormat="1" ht="12.75">
      <c r="A55" s="101" t="str">
        <f>IF(OR(TipoOrçamento="BASE",TipoOrçamento="REPROGRAMADONPL"),"Título:","Cargo:")</f>
        <v>Cargo:</v>
      </c>
      <c r="B55" s="282"/>
      <c r="C55" s="283"/>
      <c r="D55" s="283"/>
      <c r="E55" s="283"/>
      <c r="F55" s="33"/>
      <c r="G55" s="101" t="str">
        <f>A55</f>
        <v>Cargo:</v>
      </c>
      <c r="H55" s="283"/>
      <c r="I55" s="283"/>
      <c r="J55" s="283"/>
      <c r="K55" s="283"/>
      <c r="L55" s="2"/>
      <c r="M55"/>
      <c r="N55"/>
      <c r="O55"/>
      <c r="P55"/>
      <c r="Q55"/>
      <c r="R55"/>
      <c r="S55"/>
      <c r="T55"/>
      <c r="U55"/>
      <c r="V55"/>
      <c r="W55"/>
      <c r="X55"/>
    </row>
    <row r="56" spans="1:24" s="21" customFormat="1" ht="12.75">
      <c r="A56" s="101" t="str">
        <f>IF(OR(TipoOrçamento="BASE",TipoOrçamento="REPROGRAMADONPL"),"CREA/CAU:","Empresa:")</f>
        <v>Empresa:</v>
      </c>
      <c r="B56" s="307"/>
      <c r="C56" s="281"/>
      <c r="D56" s="281"/>
      <c r="E56" s="281"/>
      <c r="F56" s="33"/>
      <c r="G56" s="101" t="str">
        <f>A56</f>
        <v>Empresa:</v>
      </c>
      <c r="H56" s="281"/>
      <c r="I56" s="281"/>
      <c r="J56" s="281"/>
      <c r="K56" s="281"/>
      <c r="L56" s="2"/>
      <c r="M56"/>
      <c r="N56"/>
      <c r="O56"/>
      <c r="P56"/>
      <c r="Q56"/>
      <c r="R56"/>
      <c r="S56"/>
      <c r="T56"/>
      <c r="U56"/>
      <c r="V56"/>
      <c r="W56"/>
      <c r="X56"/>
    </row>
    <row r="57" spans="1:24" s="21" customFormat="1" ht="12.75">
      <c r="A57" s="101" t="str">
        <f>IF(OR(TipoOrçamento="BASE",TipoOrçamento="REPROGRAMADONPL"),"ART/RRT:","CNPJ:")</f>
        <v>CNPJ:</v>
      </c>
      <c r="B57" s="281"/>
      <c r="C57" s="281"/>
      <c r="D57" s="281"/>
      <c r="E57" s="281"/>
      <c r="F57" s="33"/>
      <c r="G57" s="101" t="str">
        <f>A57</f>
        <v>CNPJ:</v>
      </c>
      <c r="H57" s="281"/>
      <c r="I57" s="281"/>
      <c r="J57" s="281"/>
      <c r="K57" s="281"/>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84" t="s">
        <v>196</v>
      </c>
      <c r="B60" s="284"/>
      <c r="C60" s="285"/>
      <c r="D60" s="285"/>
      <c r="E60" s="285"/>
      <c r="F60" s="285"/>
      <c r="G60" s="285"/>
      <c r="H60" s="285"/>
      <c r="I60" s="285"/>
      <c r="J60" s="285"/>
      <c r="K60" s="285"/>
      <c r="L60" s="285"/>
      <c r="M60" s="285"/>
      <c r="N60" s="285"/>
      <c r="O60" s="285"/>
      <c r="P60" s="285"/>
      <c r="Q60" s="285"/>
      <c r="R60" s="285"/>
      <c r="S60" s="285"/>
      <c r="T60" s="285"/>
      <c r="U60" s="285"/>
      <c r="V60" s="285"/>
      <c r="W60" s="285"/>
      <c r="X60" s="285"/>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86" t="s">
        <v>197</v>
      </c>
      <c r="B62" s="311"/>
      <c r="C62" s="312"/>
      <c r="D62" s="312"/>
      <c r="E62" s="312"/>
      <c r="F62" s="312"/>
      <c r="G62" s="312"/>
      <c r="H62" s="312"/>
      <c r="I62" s="312"/>
      <c r="J62" s="312"/>
      <c r="K62" s="312"/>
      <c r="L62" s="312"/>
      <c r="M62" s="312"/>
      <c r="N62" s="312"/>
      <c r="O62" s="312"/>
      <c r="P62" s="312"/>
      <c r="Q62" s="312"/>
      <c r="R62" s="312"/>
      <c r="S62" s="312"/>
      <c r="T62" s="312"/>
      <c r="U62" s="312"/>
      <c r="V62" s="312"/>
      <c r="W62" s="312"/>
      <c r="X62" s="312"/>
    </row>
    <row r="63" spans="1:24" s="21" customFormat="1" ht="30" customHeight="1">
      <c r="A63" s="286" t="s">
        <v>198</v>
      </c>
      <c r="B63" s="286"/>
      <c r="C63" s="287"/>
      <c r="D63" s="287"/>
      <c r="E63" s="287"/>
      <c r="F63" s="287"/>
      <c r="G63" s="287"/>
      <c r="H63" s="287"/>
      <c r="I63" s="287"/>
      <c r="J63" s="287"/>
      <c r="K63" s="287"/>
      <c r="L63" s="287"/>
      <c r="M63" s="287"/>
      <c r="N63" s="287"/>
      <c r="O63" s="287"/>
      <c r="P63" s="287"/>
      <c r="Q63" s="287"/>
      <c r="R63" s="287"/>
      <c r="S63" s="287"/>
      <c r="T63" s="287"/>
      <c r="U63" s="287"/>
      <c r="V63" s="287"/>
      <c r="W63" s="287"/>
      <c r="X63" s="287"/>
    </row>
    <row r="64" spans="1:24" s="21" customFormat="1" ht="12.75">
      <c r="A64" s="22"/>
      <c r="B64" s="22"/>
      <c r="F64" s="33"/>
      <c r="G64" s="34"/>
      <c r="H64" s="35"/>
      <c r="M64"/>
      <c r="N64"/>
      <c r="O64"/>
      <c r="P64"/>
      <c r="Q64"/>
      <c r="R64"/>
      <c r="S64"/>
      <c r="T64"/>
      <c r="U64"/>
      <c r="V64"/>
      <c r="W64"/>
      <c r="X64"/>
    </row>
    <row r="65" spans="1:24" s="21" customFormat="1" ht="12.75" customHeight="1">
      <c r="A65" s="284" t="s">
        <v>199</v>
      </c>
      <c r="B65" s="284"/>
      <c r="C65" s="285"/>
      <c r="D65" s="285"/>
      <c r="E65" s="285"/>
      <c r="F65" s="285"/>
      <c r="G65" s="285"/>
      <c r="H65" s="285"/>
      <c r="I65" s="285"/>
      <c r="J65" s="285"/>
      <c r="K65" s="285"/>
      <c r="L65" s="285"/>
      <c r="M65" s="285"/>
      <c r="N65" s="285"/>
      <c r="O65" s="285"/>
      <c r="P65" s="285"/>
      <c r="Q65" s="285"/>
      <c r="R65" s="285"/>
      <c r="S65" s="285"/>
      <c r="T65" s="285"/>
      <c r="U65" s="285"/>
      <c r="V65" s="285"/>
      <c r="W65" s="285"/>
      <c r="X65" s="285"/>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50" t="s">
        <v>200</v>
      </c>
      <c r="B67" s="250"/>
      <c r="C67" s="251"/>
      <c r="D67" s="251"/>
      <c r="E67" s="251"/>
      <c r="F67" s="251"/>
      <c r="G67" s="251"/>
      <c r="H67" s="251"/>
      <c r="I67" s="251"/>
      <c r="J67" s="251"/>
      <c r="K67" s="251"/>
      <c r="L67" s="251"/>
      <c r="M67" s="251"/>
      <c r="N67" s="251"/>
      <c r="O67" s="251"/>
      <c r="P67" s="251"/>
      <c r="Q67" s="251"/>
      <c r="R67" s="251"/>
      <c r="S67" s="251"/>
      <c r="T67" s="251"/>
      <c r="U67" s="251"/>
      <c r="V67" s="251"/>
      <c r="W67" s="251"/>
      <c r="X67" s="251"/>
    </row>
    <row r="68" spans="1:24" s="21" customFormat="1" ht="12.75">
      <c r="A68" s="250" t="s">
        <v>201</v>
      </c>
      <c r="B68" s="250"/>
      <c r="C68" s="251"/>
      <c r="D68" s="251"/>
      <c r="E68" s="251"/>
      <c r="F68" s="251"/>
      <c r="G68" s="251"/>
      <c r="H68" s="251"/>
      <c r="I68" s="251"/>
      <c r="J68" s="251"/>
      <c r="K68" s="251"/>
      <c r="L68" s="251"/>
      <c r="M68" s="251"/>
      <c r="N68" s="251"/>
      <c r="O68" s="251"/>
      <c r="P68" s="251"/>
      <c r="Q68" s="251"/>
      <c r="R68" s="251"/>
      <c r="S68" s="251"/>
      <c r="T68" s="251"/>
      <c r="U68" s="251"/>
      <c r="V68" s="251"/>
      <c r="W68" s="251"/>
      <c r="X68" s="251"/>
    </row>
    <row r="69" spans="1:24" s="21" customFormat="1" ht="12.75" customHeight="1">
      <c r="A69" s="250" t="s">
        <v>202</v>
      </c>
      <c r="B69" s="250"/>
      <c r="C69" s="251"/>
      <c r="D69" s="251"/>
      <c r="E69" s="251"/>
      <c r="F69" s="251"/>
      <c r="G69" s="251"/>
      <c r="H69" s="251"/>
      <c r="I69" s="251"/>
      <c r="J69" s="251"/>
      <c r="K69" s="251"/>
      <c r="L69" s="251"/>
      <c r="M69" s="251"/>
      <c r="N69" s="251"/>
      <c r="O69" s="251"/>
      <c r="P69" s="251"/>
      <c r="Q69" s="251"/>
      <c r="R69" s="251"/>
      <c r="S69" s="251"/>
      <c r="T69" s="251"/>
      <c r="U69" s="251"/>
      <c r="V69" s="251"/>
      <c r="W69" s="251"/>
      <c r="X69" s="251"/>
    </row>
    <row r="70" spans="1:24" s="21" customFormat="1" ht="12.75" customHeight="1">
      <c r="A70" s="250" t="s">
        <v>203</v>
      </c>
      <c r="B70" s="250"/>
      <c r="C70" s="251"/>
      <c r="D70" s="251"/>
      <c r="E70" s="251"/>
      <c r="F70" s="251"/>
      <c r="G70" s="251"/>
      <c r="H70" s="251"/>
      <c r="I70" s="251"/>
      <c r="J70" s="251"/>
      <c r="K70" s="251"/>
      <c r="L70" s="251"/>
      <c r="M70" s="251"/>
      <c r="N70" s="251"/>
      <c r="O70" s="251"/>
      <c r="P70" s="251"/>
      <c r="Q70" s="251"/>
      <c r="R70" s="251"/>
      <c r="S70" s="251"/>
      <c r="T70" s="251"/>
      <c r="U70" s="251"/>
      <c r="V70" s="251"/>
      <c r="W70" s="251"/>
      <c r="X70" s="251"/>
    </row>
    <row r="71" spans="1:24" s="21" customFormat="1" ht="12.75" customHeight="1">
      <c r="A71" s="250" t="s">
        <v>204</v>
      </c>
      <c r="B71" s="250"/>
      <c r="C71" s="251"/>
      <c r="D71" s="251"/>
      <c r="E71" s="251"/>
      <c r="F71" s="251"/>
      <c r="G71" s="251"/>
      <c r="H71" s="251"/>
      <c r="I71" s="251"/>
      <c r="J71" s="251"/>
      <c r="K71" s="251"/>
      <c r="L71" s="251"/>
      <c r="M71" s="251"/>
      <c r="N71" s="251"/>
      <c r="O71" s="251"/>
      <c r="P71" s="251"/>
      <c r="Q71" s="251"/>
      <c r="R71" s="251"/>
      <c r="S71" s="251"/>
      <c r="T71" s="251"/>
      <c r="U71" s="251"/>
      <c r="V71" s="251"/>
      <c r="W71" s="251"/>
      <c r="X71" s="251"/>
    </row>
    <row r="72" spans="1:24" s="21" customFormat="1" ht="12.75" customHeight="1">
      <c r="A72" s="250" t="s">
        <v>205</v>
      </c>
      <c r="B72" s="250"/>
      <c r="C72" s="251"/>
      <c r="D72" s="251"/>
      <c r="E72" s="251"/>
      <c r="F72" s="251"/>
      <c r="G72" s="251"/>
      <c r="H72" s="251"/>
      <c r="I72" s="251"/>
      <c r="J72" s="251"/>
      <c r="K72" s="251"/>
      <c r="L72" s="251"/>
      <c r="M72" s="251"/>
      <c r="N72" s="251"/>
      <c r="O72" s="251"/>
      <c r="P72" s="251"/>
      <c r="Q72" s="251"/>
      <c r="R72" s="251"/>
      <c r="S72" s="251"/>
      <c r="T72" s="251"/>
      <c r="U72" s="251"/>
      <c r="V72" s="251"/>
      <c r="W72" s="251"/>
      <c r="X72" s="251"/>
    </row>
    <row r="73" spans="1:8" s="21" customFormat="1" ht="12.75">
      <c r="A73" s="22"/>
      <c r="B73" s="22"/>
      <c r="F73" s="33"/>
      <c r="G73" s="34"/>
      <c r="H73" s="35"/>
    </row>
    <row r="74" spans="1:24" s="21" customFormat="1" ht="12.75" customHeight="1">
      <c r="A74" s="284" t="s">
        <v>206</v>
      </c>
      <c r="B74" s="284"/>
      <c r="C74" s="285"/>
      <c r="D74" s="285"/>
      <c r="E74" s="285"/>
      <c r="F74" s="285"/>
      <c r="G74" s="285"/>
      <c r="H74" s="285"/>
      <c r="I74" s="285"/>
      <c r="J74" s="285"/>
      <c r="K74" s="285"/>
      <c r="L74" s="285"/>
      <c r="M74" s="285"/>
      <c r="N74" s="285"/>
      <c r="O74" s="285"/>
      <c r="P74" s="285"/>
      <c r="Q74" s="285"/>
      <c r="R74" s="285"/>
      <c r="S74" s="285"/>
      <c r="T74" s="285"/>
      <c r="U74" s="285"/>
      <c r="V74" s="285"/>
      <c r="W74" s="285"/>
      <c r="X74" s="285"/>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50" t="s">
        <v>207</v>
      </c>
      <c r="B76" s="250"/>
      <c r="C76" s="251"/>
      <c r="D76" s="251"/>
      <c r="E76" s="251"/>
      <c r="F76" s="251"/>
      <c r="G76" s="251"/>
      <c r="H76" s="251"/>
      <c r="I76" s="251"/>
      <c r="J76" s="251"/>
      <c r="K76" s="251"/>
      <c r="L76" s="251"/>
      <c r="M76" s="251"/>
      <c r="N76" s="251"/>
      <c r="O76" s="251"/>
      <c r="P76" s="251"/>
      <c r="Q76" s="251"/>
      <c r="R76" s="251"/>
      <c r="S76" s="251"/>
      <c r="T76" s="251"/>
      <c r="U76" s="251"/>
      <c r="V76" s="251"/>
      <c r="W76" s="251"/>
      <c r="X76" s="251"/>
    </row>
    <row r="77" spans="1:24" s="21" customFormat="1" ht="25.5" customHeight="1">
      <c r="A77" s="261" t="s">
        <v>208</v>
      </c>
      <c r="B77" s="261"/>
      <c r="C77" s="262"/>
      <c r="D77" s="262"/>
      <c r="E77" s="262"/>
      <c r="F77" s="262"/>
      <c r="G77" s="262"/>
      <c r="H77" s="262"/>
      <c r="I77" s="262"/>
      <c r="J77" s="262"/>
      <c r="K77" s="262"/>
      <c r="L77" s="262"/>
      <c r="M77" s="262"/>
      <c r="N77" s="262"/>
      <c r="O77" s="262"/>
      <c r="P77" s="262"/>
      <c r="Q77" s="262"/>
      <c r="R77" s="262"/>
      <c r="S77" s="262"/>
      <c r="T77" s="262"/>
      <c r="U77" s="262"/>
      <c r="V77" s="262"/>
      <c r="W77" s="262"/>
      <c r="X77" s="262"/>
    </row>
    <row r="78" spans="1:24" s="21" customFormat="1" ht="12.75" customHeight="1">
      <c r="A78" s="250" t="s">
        <v>209</v>
      </c>
      <c r="B78" s="250"/>
      <c r="C78" s="251"/>
      <c r="D78" s="251"/>
      <c r="E78" s="251"/>
      <c r="F78" s="251"/>
      <c r="G78" s="251"/>
      <c r="H78" s="251"/>
      <c r="I78" s="251"/>
      <c r="J78" s="251"/>
      <c r="K78" s="251"/>
      <c r="L78" s="251"/>
      <c r="M78" s="251"/>
      <c r="N78" s="251"/>
      <c r="O78" s="251"/>
      <c r="P78" s="251"/>
      <c r="Q78" s="251"/>
      <c r="R78" s="251"/>
      <c r="S78" s="251"/>
      <c r="T78" s="251"/>
      <c r="U78" s="251"/>
      <c r="V78" s="251"/>
      <c r="W78" s="251"/>
      <c r="X78" s="251"/>
    </row>
    <row r="79" spans="1:24" s="21" customFormat="1" ht="25.5" customHeight="1">
      <c r="A79" s="250" t="s">
        <v>210</v>
      </c>
      <c r="B79" s="250"/>
      <c r="C79" s="251"/>
      <c r="D79" s="251"/>
      <c r="E79" s="251"/>
      <c r="F79" s="251"/>
      <c r="G79" s="251"/>
      <c r="H79" s="251"/>
      <c r="I79" s="251"/>
      <c r="J79" s="251"/>
      <c r="K79" s="251"/>
      <c r="L79" s="251"/>
      <c r="M79" s="251"/>
      <c r="N79" s="251"/>
      <c r="O79" s="251"/>
      <c r="P79" s="251"/>
      <c r="Q79" s="251"/>
      <c r="R79" s="251"/>
      <c r="S79" s="251"/>
      <c r="T79" s="251"/>
      <c r="U79" s="251"/>
      <c r="V79" s="251"/>
      <c r="W79" s="251"/>
      <c r="X79" s="251"/>
    </row>
    <row r="80" spans="1:24" s="21" customFormat="1" ht="12.75">
      <c r="A80" s="261" t="s">
        <v>211</v>
      </c>
      <c r="B80" s="261"/>
      <c r="C80" s="262"/>
      <c r="D80" s="262"/>
      <c r="E80" s="262"/>
      <c r="F80" s="262"/>
      <c r="G80" s="262"/>
      <c r="H80" s="262"/>
      <c r="I80" s="262"/>
      <c r="J80" s="262"/>
      <c r="K80" s="262"/>
      <c r="L80" s="262"/>
      <c r="M80" s="262"/>
      <c r="N80" s="262"/>
      <c r="O80" s="262"/>
      <c r="P80" s="262"/>
      <c r="Q80" s="262"/>
      <c r="R80" s="262"/>
      <c r="S80" s="262"/>
      <c r="T80" s="262"/>
      <c r="U80" s="262"/>
      <c r="V80" s="262"/>
      <c r="W80" s="262"/>
      <c r="X80" s="262"/>
    </row>
    <row r="81" spans="1:24" ht="12.75" customHeight="1">
      <c r="A81" s="250" t="s">
        <v>212</v>
      </c>
      <c r="B81" s="250"/>
      <c r="C81" s="251"/>
      <c r="D81" s="251"/>
      <c r="E81" s="251"/>
      <c r="F81" s="251"/>
      <c r="G81" s="251"/>
      <c r="H81" s="251"/>
      <c r="I81" s="251"/>
      <c r="J81" s="251"/>
      <c r="K81" s="251"/>
      <c r="L81" s="251"/>
      <c r="M81" s="251"/>
      <c r="N81" s="251"/>
      <c r="O81" s="251"/>
      <c r="P81" s="251"/>
      <c r="Q81" s="251"/>
      <c r="R81" s="251"/>
      <c r="S81" s="251"/>
      <c r="T81" s="251"/>
      <c r="U81" s="251"/>
      <c r="V81" s="251"/>
      <c r="W81" s="251"/>
      <c r="X81" s="251"/>
    </row>
    <row r="82" spans="1:24" ht="25.5" customHeight="1">
      <c r="A82" s="250" t="s">
        <v>213</v>
      </c>
      <c r="B82" s="250"/>
      <c r="C82" s="251"/>
      <c r="D82" s="251"/>
      <c r="E82" s="251"/>
      <c r="F82" s="251"/>
      <c r="G82" s="251"/>
      <c r="H82" s="251"/>
      <c r="I82" s="251"/>
      <c r="J82" s="251"/>
      <c r="K82" s="251"/>
      <c r="L82" s="251"/>
      <c r="M82" s="251"/>
      <c r="N82" s="251"/>
      <c r="O82" s="251"/>
      <c r="P82" s="251"/>
      <c r="Q82" s="251"/>
      <c r="R82" s="251"/>
      <c r="S82" s="251"/>
      <c r="T82" s="251"/>
      <c r="U82" s="251"/>
      <c r="V82" s="251"/>
      <c r="W82" s="251"/>
      <c r="X82" s="251"/>
    </row>
    <row r="83" spans="1:24" s="21" customFormat="1" ht="25.5" customHeight="1">
      <c r="A83" s="250" t="s">
        <v>214</v>
      </c>
      <c r="B83" s="250"/>
      <c r="C83" s="251"/>
      <c r="D83" s="251"/>
      <c r="E83" s="251"/>
      <c r="F83" s="251"/>
      <c r="G83" s="251"/>
      <c r="H83" s="251"/>
      <c r="I83" s="251"/>
      <c r="J83" s="251"/>
      <c r="K83" s="251"/>
      <c r="L83" s="251"/>
      <c r="M83" s="251"/>
      <c r="N83" s="251"/>
      <c r="O83" s="251"/>
      <c r="P83" s="251"/>
      <c r="Q83" s="251"/>
      <c r="R83" s="251"/>
      <c r="S83" s="251"/>
      <c r="T83" s="251"/>
      <c r="U83" s="251"/>
      <c r="V83" s="251"/>
      <c r="W83" s="251"/>
      <c r="X83" s="251"/>
    </row>
    <row r="84" spans="1:24" s="21" customFormat="1" ht="12.75" customHeight="1">
      <c r="A84" s="250" t="s">
        <v>215</v>
      </c>
      <c r="B84" s="250"/>
      <c r="C84" s="251"/>
      <c r="D84" s="251"/>
      <c r="E84" s="251"/>
      <c r="F84" s="251"/>
      <c r="G84" s="251"/>
      <c r="H84" s="251"/>
      <c r="I84" s="251"/>
      <c r="J84" s="251"/>
      <c r="K84" s="251"/>
      <c r="L84" s="251"/>
      <c r="M84" s="251"/>
      <c r="N84" s="251"/>
      <c r="O84" s="251"/>
      <c r="P84" s="251"/>
      <c r="Q84" s="251"/>
      <c r="R84" s="251"/>
      <c r="S84" s="251"/>
      <c r="T84" s="251"/>
      <c r="U84" s="251"/>
      <c r="V84" s="251"/>
      <c r="W84" s="251"/>
      <c r="X84" s="251"/>
    </row>
    <row r="85" spans="1:24" s="21" customFormat="1" ht="12.75">
      <c r="A85" s="250" t="s">
        <v>216</v>
      </c>
      <c r="B85" s="250"/>
      <c r="C85" s="251"/>
      <c r="D85" s="251"/>
      <c r="E85" s="251"/>
      <c r="F85" s="251"/>
      <c r="G85" s="251"/>
      <c r="H85" s="251"/>
      <c r="I85" s="251"/>
      <c r="J85" s="251"/>
      <c r="K85" s="251"/>
      <c r="L85" s="251"/>
      <c r="M85" s="251"/>
      <c r="N85" s="251"/>
      <c r="O85" s="251"/>
      <c r="P85" s="251"/>
      <c r="Q85" s="251"/>
      <c r="R85" s="251"/>
      <c r="S85" s="251"/>
      <c r="T85" s="251"/>
      <c r="U85" s="251"/>
      <c r="V85" s="251"/>
      <c r="W85" s="251"/>
      <c r="X85" s="251"/>
    </row>
    <row r="86" spans="1:24" ht="12.75" customHeight="1">
      <c r="A86" s="261" t="s">
        <v>217</v>
      </c>
      <c r="B86" s="261"/>
      <c r="C86" s="262"/>
      <c r="D86" s="262"/>
      <c r="E86" s="262"/>
      <c r="F86" s="262"/>
      <c r="G86" s="262"/>
      <c r="H86" s="262"/>
      <c r="I86" s="262"/>
      <c r="J86" s="262"/>
      <c r="K86" s="262"/>
      <c r="L86" s="262"/>
      <c r="M86" s="262"/>
      <c r="N86" s="262"/>
      <c r="O86" s="262"/>
      <c r="P86" s="262"/>
      <c r="Q86" s="262"/>
      <c r="R86" s="262"/>
      <c r="S86" s="262"/>
      <c r="T86" s="262"/>
      <c r="U86" s="262"/>
      <c r="V86" s="262"/>
      <c r="W86" s="262"/>
      <c r="X86" s="262"/>
    </row>
    <row r="87" spans="1:24" ht="12.75">
      <c r="A87" s="250" t="s">
        <v>218</v>
      </c>
      <c r="B87" s="250"/>
      <c r="C87" s="251"/>
      <c r="D87" s="251"/>
      <c r="E87" s="251"/>
      <c r="F87" s="251"/>
      <c r="G87" s="251"/>
      <c r="H87" s="251"/>
      <c r="I87" s="251"/>
      <c r="J87" s="251"/>
      <c r="K87" s="251"/>
      <c r="L87" s="251"/>
      <c r="M87" s="251"/>
      <c r="N87" s="251"/>
      <c r="O87" s="251"/>
      <c r="P87" s="251"/>
      <c r="Q87" s="251"/>
      <c r="R87" s="251"/>
      <c r="S87" s="251"/>
      <c r="T87" s="251"/>
      <c r="U87" s="251"/>
      <c r="V87" s="251"/>
      <c r="W87" s="251"/>
      <c r="X87" s="251"/>
    </row>
    <row r="88" spans="1:24" ht="12.75">
      <c r="A88" s="250" t="s">
        <v>219</v>
      </c>
      <c r="B88" s="250"/>
      <c r="C88" s="251"/>
      <c r="D88" s="251"/>
      <c r="E88" s="251"/>
      <c r="F88" s="251"/>
      <c r="G88" s="251"/>
      <c r="H88" s="251"/>
      <c r="I88" s="251"/>
      <c r="J88" s="251"/>
      <c r="K88" s="251"/>
      <c r="L88" s="251"/>
      <c r="M88" s="251"/>
      <c r="N88" s="251"/>
      <c r="O88" s="251"/>
      <c r="P88" s="251"/>
      <c r="Q88" s="251"/>
      <c r="R88" s="251"/>
      <c r="S88" s="251"/>
      <c r="T88" s="251"/>
      <c r="U88" s="251"/>
      <c r="V88" s="251"/>
      <c r="W88" s="251"/>
      <c r="X88" s="251"/>
    </row>
    <row r="90" spans="1:24" ht="12.75">
      <c r="A90" s="284" t="s">
        <v>220</v>
      </c>
      <c r="B90" s="284"/>
      <c r="C90" s="285"/>
      <c r="D90" s="285"/>
      <c r="E90" s="285"/>
      <c r="F90" s="285"/>
      <c r="G90" s="285"/>
      <c r="H90" s="285"/>
      <c r="I90" s="285"/>
      <c r="J90" s="285"/>
      <c r="K90" s="285"/>
      <c r="L90" s="285"/>
      <c r="M90" s="285"/>
      <c r="N90" s="285"/>
      <c r="O90" s="285"/>
      <c r="P90" s="285"/>
      <c r="Q90" s="285"/>
      <c r="R90" s="285"/>
      <c r="S90" s="285"/>
      <c r="T90" s="285"/>
      <c r="U90" s="285"/>
      <c r="V90" s="285"/>
      <c r="W90" s="285"/>
      <c r="X90" s="285"/>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50" t="s">
        <v>221</v>
      </c>
      <c r="B92" s="250"/>
      <c r="C92" s="251"/>
      <c r="D92" s="251"/>
      <c r="E92" s="251"/>
      <c r="F92" s="251"/>
      <c r="G92" s="251"/>
      <c r="H92" s="251"/>
      <c r="I92" s="251"/>
      <c r="J92" s="251"/>
      <c r="K92" s="251"/>
      <c r="L92" s="251"/>
      <c r="M92" s="251"/>
      <c r="N92" s="251"/>
      <c r="O92" s="251"/>
      <c r="P92" s="251"/>
      <c r="Q92" s="251"/>
      <c r="R92" s="251"/>
      <c r="S92" s="251"/>
      <c r="T92" s="251"/>
      <c r="U92" s="251"/>
      <c r="V92" s="251"/>
      <c r="W92" s="251"/>
      <c r="X92" s="251"/>
    </row>
    <row r="93" spans="1:24" ht="12.75" customHeight="1">
      <c r="A93" s="261" t="s">
        <v>222</v>
      </c>
      <c r="B93" s="261"/>
      <c r="C93" s="262"/>
      <c r="D93" s="262"/>
      <c r="E93" s="262"/>
      <c r="F93" s="262"/>
      <c r="G93" s="262"/>
      <c r="H93" s="262"/>
      <c r="I93" s="262"/>
      <c r="J93" s="262"/>
      <c r="K93" s="262"/>
      <c r="L93" s="262"/>
      <c r="M93" s="262"/>
      <c r="N93" s="262"/>
      <c r="O93" s="262"/>
      <c r="P93" s="262"/>
      <c r="Q93" s="262"/>
      <c r="R93" s="262"/>
      <c r="S93" s="262"/>
      <c r="T93" s="262"/>
      <c r="U93" s="262"/>
      <c r="V93" s="262"/>
      <c r="W93" s="262"/>
      <c r="X93" s="262"/>
    </row>
    <row r="94" spans="1:24" ht="12.75" customHeight="1">
      <c r="A94" s="250" t="s">
        <v>223</v>
      </c>
      <c r="B94" s="250"/>
      <c r="C94" s="251"/>
      <c r="D94" s="251"/>
      <c r="E94" s="251"/>
      <c r="F94" s="251"/>
      <c r="G94" s="251"/>
      <c r="H94" s="251"/>
      <c r="I94" s="251"/>
      <c r="J94" s="251"/>
      <c r="K94" s="251"/>
      <c r="L94" s="251"/>
      <c r="M94" s="251"/>
      <c r="N94" s="251"/>
      <c r="O94" s="251"/>
      <c r="P94" s="251"/>
      <c r="Q94" s="251"/>
      <c r="R94" s="251"/>
      <c r="S94" s="251"/>
      <c r="T94" s="251"/>
      <c r="U94" s="251"/>
      <c r="V94" s="251"/>
      <c r="W94" s="251"/>
      <c r="X94" s="251"/>
    </row>
    <row r="95" spans="1:24" ht="12.75">
      <c r="A95" s="250" t="s">
        <v>224</v>
      </c>
      <c r="B95" s="250"/>
      <c r="C95" s="251"/>
      <c r="D95" s="251"/>
      <c r="E95" s="251"/>
      <c r="F95" s="251"/>
      <c r="G95" s="251"/>
      <c r="H95" s="251"/>
      <c r="I95" s="251"/>
      <c r="J95" s="251"/>
      <c r="K95" s="251"/>
      <c r="L95" s="251"/>
      <c r="M95" s="251"/>
      <c r="N95" s="251"/>
      <c r="O95" s="251"/>
      <c r="P95" s="251"/>
      <c r="Q95" s="251"/>
      <c r="R95" s="251"/>
      <c r="S95" s="251"/>
      <c r="T95" s="251"/>
      <c r="U95" s="251"/>
      <c r="V95" s="251"/>
      <c r="W95" s="251"/>
      <c r="X95" s="251"/>
    </row>
    <row r="96" spans="1:24" ht="12.75" customHeight="1">
      <c r="A96" s="261"/>
      <c r="B96" s="261"/>
      <c r="C96" s="262"/>
      <c r="D96" s="262"/>
      <c r="E96" s="262"/>
      <c r="F96" s="262"/>
      <c r="G96" s="262"/>
      <c r="H96" s="262"/>
      <c r="I96" s="262"/>
      <c r="J96" s="262"/>
      <c r="K96" s="262"/>
      <c r="L96" s="262"/>
      <c r="M96" s="262"/>
      <c r="N96" s="262"/>
      <c r="O96" s="262"/>
      <c r="P96" s="262"/>
      <c r="Q96" s="262"/>
      <c r="R96" s="262"/>
      <c r="S96" s="262"/>
      <c r="T96" s="262"/>
      <c r="U96" s="262"/>
      <c r="V96" s="262"/>
      <c r="W96" s="262"/>
      <c r="X96" s="262"/>
    </row>
    <row r="97" spans="1:24" ht="12.75">
      <c r="A97" s="284" t="s">
        <v>225</v>
      </c>
      <c r="B97" s="284"/>
      <c r="C97" s="285"/>
      <c r="D97" s="285"/>
      <c r="E97" s="285"/>
      <c r="F97" s="285"/>
      <c r="G97" s="285"/>
      <c r="H97" s="285"/>
      <c r="I97" s="285"/>
      <c r="J97" s="285"/>
      <c r="K97" s="285"/>
      <c r="L97" s="285"/>
      <c r="M97" s="285"/>
      <c r="N97" s="285"/>
      <c r="O97" s="285"/>
      <c r="P97" s="285"/>
      <c r="Q97" s="285"/>
      <c r="R97" s="285"/>
      <c r="S97" s="285"/>
      <c r="T97" s="285"/>
      <c r="U97" s="285"/>
      <c r="V97" s="285"/>
      <c r="W97" s="285"/>
      <c r="X97" s="285"/>
    </row>
    <row r="98" spans="1:24" ht="12.75" customHeight="1">
      <c r="A98" s="261"/>
      <c r="B98" s="261"/>
      <c r="C98" s="262"/>
      <c r="D98" s="262"/>
      <c r="E98" s="262"/>
      <c r="F98" s="262"/>
      <c r="G98" s="262"/>
      <c r="H98" s="262"/>
      <c r="I98" s="262"/>
      <c r="J98" s="262"/>
      <c r="K98" s="262"/>
      <c r="L98" s="262"/>
      <c r="M98" s="262"/>
      <c r="N98" s="262"/>
      <c r="O98" s="262"/>
      <c r="P98" s="262"/>
      <c r="Q98" s="262"/>
      <c r="R98" s="262"/>
      <c r="S98" s="262"/>
      <c r="T98" s="262"/>
      <c r="U98" s="262"/>
      <c r="V98" s="262"/>
      <c r="W98" s="262"/>
      <c r="X98" s="262"/>
    </row>
    <row r="99" spans="1:24" ht="12.75" customHeight="1">
      <c r="A99" s="250" t="s">
        <v>226</v>
      </c>
      <c r="B99" s="250"/>
      <c r="C99" s="251"/>
      <c r="D99" s="251"/>
      <c r="E99" s="251"/>
      <c r="F99" s="251"/>
      <c r="G99" s="251"/>
      <c r="H99" s="251"/>
      <c r="I99" s="251"/>
      <c r="J99" s="251"/>
      <c r="K99" s="251"/>
      <c r="L99" s="251"/>
      <c r="M99" s="251"/>
      <c r="N99" s="251"/>
      <c r="O99" s="251"/>
      <c r="P99" s="251"/>
      <c r="Q99" s="251"/>
      <c r="R99" s="251"/>
      <c r="S99" s="251"/>
      <c r="T99" s="251"/>
      <c r="U99" s="251"/>
      <c r="V99" s="251"/>
      <c r="W99" s="251"/>
      <c r="X99" s="251"/>
    </row>
    <row r="100" spans="1:24" ht="12.75" customHeight="1">
      <c r="A100" s="250" t="s">
        <v>227</v>
      </c>
      <c r="B100" s="250"/>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row>
    <row r="101" spans="1:24" ht="12.75">
      <c r="A101" s="250" t="s">
        <v>228</v>
      </c>
      <c r="B101" s="250"/>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132</v>
      </c>
      <c r="O107" s="82"/>
      <c r="P107" s="38"/>
      <c r="Q107" s="82"/>
    </row>
    <row r="108" spans="1:19" ht="12.75" customHeight="1">
      <c r="A108"/>
      <c r="E108"/>
      <c r="F108"/>
      <c r="G108" s="31"/>
      <c r="H108" s="31"/>
      <c r="L108" s="82" t="s">
        <v>133</v>
      </c>
      <c r="P108" s="31"/>
      <c r="S108" s="208">
        <f>T38</f>
        <v>0.2231</v>
      </c>
    </row>
    <row r="109" spans="1:19" ht="12.75">
      <c r="A109"/>
      <c r="E109"/>
      <c r="F109"/>
      <c r="G109" s="31"/>
      <c r="H109" s="31"/>
      <c r="L109" s="82" t="s">
        <v>134</v>
      </c>
      <c r="P109" s="31"/>
      <c r="S109" s="208">
        <f>U38</f>
      </c>
    </row>
    <row r="110" spans="1:19" ht="12.75" customHeight="1">
      <c r="A110"/>
      <c r="E110"/>
      <c r="F110"/>
      <c r="G110" s="31"/>
      <c r="H110" s="31"/>
      <c r="L110" s="82" t="s">
        <v>135</v>
      </c>
      <c r="P110" s="31"/>
      <c r="S110" s="208">
        <f>V38</f>
      </c>
    </row>
    <row r="111" spans="1:19" ht="12.75">
      <c r="A111"/>
      <c r="E111"/>
      <c r="F111"/>
      <c r="G111" s="31"/>
      <c r="H111" s="31"/>
      <c r="L111" s="82" t="s">
        <v>136</v>
      </c>
      <c r="P111" s="31"/>
      <c r="S111" s="208">
        <f>W38</f>
      </c>
    </row>
    <row r="112" spans="1:19" ht="12.75" customHeight="1">
      <c r="A112"/>
      <c r="E112"/>
      <c r="F112"/>
      <c r="G112" s="31"/>
      <c r="H112" s="31"/>
      <c r="L112" s="82" t="s">
        <v>137</v>
      </c>
      <c r="P112" s="31"/>
      <c r="S112" s="208">
        <f>X38</f>
      </c>
    </row>
    <row r="113" spans="1:12" ht="12.75">
      <c r="A113"/>
      <c r="H113" s="38"/>
      <c r="L113" s="82" t="s">
        <v>66</v>
      </c>
    </row>
    <row r="114" spans="1:12" ht="12.75" customHeight="1">
      <c r="A114"/>
      <c r="H114" s="38"/>
      <c r="L114" s="82" t="s">
        <v>67</v>
      </c>
    </row>
    <row r="115" spans="1:16" ht="12.75">
      <c r="A115"/>
      <c r="H115" s="38"/>
      <c r="L115" s="82" t="s">
        <v>68</v>
      </c>
      <c r="P115" s="1" t="s">
        <v>113</v>
      </c>
    </row>
    <row r="116" spans="1:16" ht="12.75">
      <c r="A116"/>
      <c r="H116" s="38"/>
      <c r="L116" s="82" t="s">
        <v>69</v>
      </c>
      <c r="P116" s="1" t="s">
        <v>114</v>
      </c>
    </row>
    <row r="117" spans="1:16" ht="12.75">
      <c r="A117"/>
      <c r="L117" s="82" t="s">
        <v>70</v>
      </c>
      <c r="P117" s="1" t="s">
        <v>115</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36" t="str">
        <f>A28</f>
        <v>Nº OPERAÇÃO</v>
      </c>
      <c r="B220" s="238"/>
      <c r="C220" s="236" t="str">
        <f>C28</f>
        <v>GESTOR</v>
      </c>
      <c r="D220" s="237"/>
      <c r="E220" s="238"/>
      <c r="F220" s="236" t="str">
        <f>F28</f>
        <v>PROGRAMA</v>
      </c>
      <c r="G220" s="237"/>
      <c r="H220" s="237"/>
      <c r="I220" s="238"/>
      <c r="J220" s="236" t="str">
        <f>J28</f>
        <v>AÇÃO / MODALIDADE</v>
      </c>
      <c r="K220" s="237"/>
      <c r="L220" s="237"/>
      <c r="M220" s="237"/>
      <c r="N220" s="237"/>
      <c r="O220" s="238"/>
      <c r="P220" s="236" t="str">
        <f>P28</f>
        <v>OBJETO</v>
      </c>
      <c r="Q220" s="237"/>
      <c r="R220" s="237"/>
      <c r="S220" s="237"/>
      <c r="T220" s="237"/>
      <c r="U220" s="237"/>
      <c r="V220" s="237"/>
      <c r="W220" s="237"/>
      <c r="X220" s="238"/>
    </row>
    <row r="221" spans="1:24" ht="12.75" customHeight="1">
      <c r="A221" s="233">
        <f>IF(A29="","",A29)</f>
      </c>
      <c r="B221" s="235"/>
      <c r="C221" s="233">
        <f>IF(C29="","",C29)</f>
      </c>
      <c r="D221" s="234"/>
      <c r="E221" s="235"/>
      <c r="F221" s="233">
        <f>IF(F29="","",F29)</f>
      </c>
      <c r="G221" s="234"/>
      <c r="H221" s="234"/>
      <c r="I221" s="235"/>
      <c r="J221" s="233">
        <f>IF(J29="","",J29)</f>
      </c>
      <c r="K221" s="234"/>
      <c r="L221" s="234" t="e">
        <f>IF(#REF!="","",#REF!)</f>
        <v>#REF!</v>
      </c>
      <c r="M221" s="234"/>
      <c r="N221" s="234" t="e">
        <f>IF(#REF!="","",#REF!)</f>
        <v>#REF!</v>
      </c>
      <c r="O221" s="235"/>
      <c r="P221" s="233" t="str">
        <f>IF(P29="","",P29)</f>
        <v>CANTEIROS-ABERTURA/ ESTACIONAMENTO/ PAISAGISMO/CICLOVIA</v>
      </c>
      <c r="Q221" s="234"/>
      <c r="R221" s="234"/>
      <c r="S221" s="234"/>
      <c r="T221" s="234"/>
      <c r="U221" s="234"/>
      <c r="V221" s="234"/>
      <c r="W221" s="234"/>
      <c r="X221" s="235"/>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36" t="str">
        <f>A31</f>
        <v>PROPONENTE / TOMADOR</v>
      </c>
      <c r="B223" s="237"/>
      <c r="C223" s="237"/>
      <c r="D223" s="237"/>
      <c r="E223" s="237"/>
      <c r="F223" s="237"/>
      <c r="G223" s="236" t="str">
        <f>G31</f>
        <v>MUNICÍPIO / UF</v>
      </c>
      <c r="H223" s="237"/>
      <c r="I223" s="237"/>
      <c r="J223" s="238"/>
      <c r="K223" s="236" t="str">
        <f>K31</f>
        <v>LOCALIDADE / ENDEREÇO</v>
      </c>
      <c r="L223" s="237"/>
      <c r="M223" s="237"/>
      <c r="N223" s="237"/>
      <c r="O223" s="237"/>
      <c r="P223" s="238"/>
      <c r="Q223" s="236" t="str">
        <f>Q31</f>
        <v>APELIDO DO EMPREENDIMENTO</v>
      </c>
      <c r="R223" s="237"/>
      <c r="S223" s="237"/>
      <c r="T223" s="237"/>
      <c r="U223" s="237"/>
      <c r="V223" s="237"/>
      <c r="W223" s="237"/>
      <c r="X223" s="238"/>
    </row>
    <row r="224" spans="1:24" ht="12.75" customHeight="1">
      <c r="A224" s="270">
        <f>IF(A32="","",A32)</f>
      </c>
      <c r="B224" s="271"/>
      <c r="C224" s="271"/>
      <c r="D224" s="271"/>
      <c r="E224" s="271"/>
      <c r="F224" s="271"/>
      <c r="G224" s="233" t="str">
        <f>IF(G32="","",G32)</f>
        <v>NAVIRAÍ - MS</v>
      </c>
      <c r="H224" s="234">
        <f>IF(I32="","",I32)</f>
      </c>
      <c r="I224" s="234"/>
      <c r="J224" s="235" t="e">
        <f>IF(#REF!="","",#REF!)</f>
        <v>#REF!</v>
      </c>
      <c r="K224" s="233" t="str">
        <f>IF(K32="","",K32)</f>
        <v>CENTRO </v>
      </c>
      <c r="L224" s="234"/>
      <c r="M224" s="234"/>
      <c r="N224" s="234"/>
      <c r="O224" s="234"/>
      <c r="P224" s="235"/>
      <c r="Q224" s="233" t="str">
        <f>IF(Q32="","",Q32)</f>
        <v>REVITALIZAÇÃO NOS CANTEIROS</v>
      </c>
      <c r="R224" s="234"/>
      <c r="S224" s="234"/>
      <c r="T224" s="234"/>
      <c r="U224" s="234"/>
      <c r="V224" s="234"/>
      <c r="W224" s="234"/>
      <c r="X224" s="235"/>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hidden="1">
      <c r="A226" s="236" t="str">
        <f>A37</f>
        <v>DATA BASE</v>
      </c>
      <c r="B226" s="238"/>
      <c r="C226" s="135" t="str">
        <f>C37</f>
        <v>DESON.</v>
      </c>
      <c r="D226" s="236" t="str">
        <f>D37</f>
        <v>LOCALIDADE DO SINAPI</v>
      </c>
      <c r="E226" s="237"/>
      <c r="F226" s="238"/>
      <c r="G226" s="236" t="str">
        <f>G37</f>
        <v>DESCRIÇÃO DO LOTE</v>
      </c>
      <c r="H226" s="237"/>
      <c r="I226" s="237"/>
      <c r="J226" s="237"/>
      <c r="K226" s="237"/>
      <c r="L226" s="237"/>
      <c r="M226" s="237"/>
      <c r="N226" s="237"/>
      <c r="O226" s="237"/>
      <c r="P226" s="237"/>
      <c r="Q226" s="237"/>
      <c r="R226" s="237"/>
      <c r="S226" s="238"/>
      <c r="T226" s="136" t="str">
        <f>T37</f>
        <v>BDI 1</v>
      </c>
      <c r="U226" s="136" t="str">
        <f>U37</f>
        <v>BDI 2</v>
      </c>
      <c r="V226" s="136" t="str">
        <f>V37</f>
        <v>BDI 3</v>
      </c>
      <c r="W226" s="136" t="str">
        <f>W37</f>
        <v>BDI 4</v>
      </c>
      <c r="X226" s="136" t="str">
        <f>X37</f>
        <v>BDI 5</v>
      </c>
    </row>
    <row r="227" spans="1:24" ht="12.75" customHeight="1" hidden="1">
      <c r="A227" s="276">
        <f>IF(A38="","",A38)</f>
        <v>43862</v>
      </c>
      <c r="B227" s="277"/>
      <c r="C227" s="137" t="str">
        <f aca="true" t="shared" si="0" ref="C227:X227">IF(C38="","",C38)</f>
        <v>Não</v>
      </c>
      <c r="D227" s="263" t="str">
        <f t="shared" si="0"/>
        <v>Campo Grande / MS</v>
      </c>
      <c r="E227" s="267">
        <f t="shared" si="0"/>
      </c>
      <c r="F227" s="264">
        <f t="shared" si="0"/>
      </c>
      <c r="G227" s="263" t="str">
        <f t="shared" si="0"/>
        <v>ÚNICO</v>
      </c>
      <c r="H227" s="267">
        <f t="shared" si="0"/>
      </c>
      <c r="I227" s="267">
        <f t="shared" si="0"/>
      </c>
      <c r="J227" s="267">
        <f t="shared" si="0"/>
      </c>
      <c r="K227" s="267">
        <f t="shared" si="0"/>
      </c>
      <c r="L227" s="267">
        <f t="shared" si="0"/>
      </c>
      <c r="M227" s="267">
        <f t="shared" si="0"/>
      </c>
      <c r="N227" s="267">
        <f t="shared" si="0"/>
      </c>
      <c r="O227" s="267">
        <f t="shared" si="0"/>
      </c>
      <c r="P227" s="267">
        <f t="shared" si="0"/>
      </c>
      <c r="Q227" s="267">
        <f t="shared" si="0"/>
      </c>
      <c r="R227" s="267">
        <f t="shared" si="0"/>
      </c>
      <c r="S227" s="264">
        <f t="shared" si="0"/>
      </c>
      <c r="T227" s="139">
        <f t="shared" si="0"/>
        <v>0.2231</v>
      </c>
      <c r="U227" s="96">
        <f t="shared" si="0"/>
      </c>
      <c r="V227" s="96">
        <f t="shared" si="0"/>
      </c>
      <c r="W227" s="96">
        <f t="shared" si="0"/>
      </c>
      <c r="X227" s="96">
        <f t="shared" si="0"/>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36" t="s">
        <v>87</v>
      </c>
      <c r="B229" s="238"/>
      <c r="C229" s="236" t="s">
        <v>164</v>
      </c>
      <c r="D229" s="237"/>
      <c r="E229" s="237"/>
      <c r="F229" s="237"/>
      <c r="G229" s="237"/>
      <c r="H229" s="236" t="s">
        <v>16</v>
      </c>
      <c r="I229" s="237"/>
      <c r="J229" s="134" t="s">
        <v>91</v>
      </c>
      <c r="K229" s="236" t="s">
        <v>88</v>
      </c>
      <c r="L229" s="237"/>
      <c r="M229" s="238"/>
      <c r="N229" s="134" t="s">
        <v>92</v>
      </c>
      <c r="O229" s="236" t="s">
        <v>93</v>
      </c>
      <c r="P229" s="237"/>
      <c r="Q229" s="237"/>
      <c r="R229" s="237"/>
      <c r="S229" s="237"/>
      <c r="T229" s="238"/>
      <c r="U229" s="272" t="s">
        <v>89</v>
      </c>
      <c r="V229" s="273"/>
      <c r="W229" s="272" t="s">
        <v>90</v>
      </c>
      <c r="X229" s="273"/>
    </row>
    <row r="230" spans="1:24" s="21" customFormat="1" ht="12.75" customHeight="1">
      <c r="A230" s="263">
        <f>IF(A43="","",A43)</f>
      </c>
      <c r="B230" s="264"/>
      <c r="C230" s="263">
        <f>IF(C43="","",C43)</f>
      </c>
      <c r="D230" s="267"/>
      <c r="E230" s="267">
        <f>IF(E43="","",E43)</f>
      </c>
      <c r="F230" s="267"/>
      <c r="G230" s="267">
        <f>IF(G43="","",G43)</f>
      </c>
      <c r="H230" s="268">
        <f>IF(H43="","",H43)</f>
      </c>
      <c r="I230" s="269">
        <f>IF(I43="","",I43)</f>
      </c>
      <c r="J230" s="138">
        <f>IF(J43="","",J43)</f>
      </c>
      <c r="K230" s="255">
        <f>IF(K43="","",K43)</f>
      </c>
      <c r="L230" s="257"/>
      <c r="M230" s="258">
        <f>IF(M43="","",M43)</f>
      </c>
      <c r="N230" s="140">
        <f>IF(N43="","",N43)</f>
      </c>
      <c r="O230" s="255">
        <f>IF(O43="","",O43)</f>
      </c>
      <c r="P230" s="256"/>
      <c r="Q230" s="256">
        <f>IF(Q43="","",Q43)</f>
      </c>
      <c r="R230" s="257"/>
      <c r="S230" s="257">
        <f>IF(S43="","",S43)</f>
      </c>
      <c r="T230" s="258"/>
      <c r="U230" s="265">
        <f>IF(U43="","",U43)</f>
      </c>
      <c r="V230" s="266"/>
      <c r="W230" s="259">
        <f>IF(W43="","",W43)</f>
      </c>
      <c r="X230" s="260"/>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pans="1:8" ht="12.75" customHeight="1" hidden="1">
      <c r="A241" s="1"/>
      <c r="B241" s="1"/>
      <c r="F241" s="1"/>
      <c r="G241" s="1"/>
      <c r="H241" s="1"/>
    </row>
    <row r="242" spans="1:8" ht="12.75" customHeight="1" hidden="1">
      <c r="A242" s="1"/>
      <c r="B242" s="1"/>
      <c r="F242" s="1"/>
      <c r="G242" s="1"/>
      <c r="H242" s="1"/>
    </row>
    <row r="243" spans="1:8" ht="12.75" customHeight="1" hidden="1">
      <c r="A243" s="1"/>
      <c r="B243" s="1"/>
      <c r="F243" s="1"/>
      <c r="G243" s="1"/>
      <c r="H243" s="1"/>
    </row>
    <row r="244" spans="1:8" ht="12.75" customHeight="1">
      <c r="A244" s="1"/>
      <c r="B244" s="1"/>
      <c r="F244" s="1"/>
      <c r="G244" s="1"/>
      <c r="H244" s="1"/>
    </row>
    <row r="245" spans="1:8" ht="6" customHeight="1">
      <c r="A245" s="1"/>
      <c r="B245" s="1"/>
      <c r="F245" s="1"/>
      <c r="G245" s="1"/>
      <c r="H245" s="1"/>
    </row>
    <row r="246" spans="1:8" ht="12.75" customHeight="1">
      <c r="A246" s="1"/>
      <c r="B246" s="1"/>
      <c r="F246" s="1"/>
      <c r="G246" s="1"/>
      <c r="H246" s="1"/>
    </row>
    <row r="247" spans="1:8" ht="12.75" customHeight="1">
      <c r="A247" s="1"/>
      <c r="B247" s="1"/>
      <c r="F247" s="1"/>
      <c r="G247" s="1"/>
      <c r="H247" s="1"/>
    </row>
    <row r="248" spans="1:8" ht="12.75" customHeight="1">
      <c r="A248" s="1"/>
      <c r="B248" s="1"/>
      <c r="F248" s="1"/>
      <c r="G248" s="1"/>
      <c r="H248" s="1"/>
    </row>
    <row r="249" spans="1:8" ht="12.75" customHeight="1">
      <c r="A249" s="1"/>
      <c r="B249" s="1"/>
      <c r="F249" s="1"/>
      <c r="G249" s="1"/>
      <c r="H249" s="1"/>
    </row>
    <row r="250" spans="1:8" ht="6" customHeight="1">
      <c r="A250" s="1"/>
      <c r="B250" s="1"/>
      <c r="F250" s="1"/>
      <c r="G250" s="1"/>
      <c r="H250" s="1"/>
    </row>
    <row r="251" spans="1:8" ht="12.75">
      <c r="A251" s="1"/>
      <c r="B251" s="1"/>
      <c r="F251" s="1"/>
      <c r="G251" s="1"/>
      <c r="H251" s="1"/>
    </row>
    <row r="252" spans="1:8" ht="12.75">
      <c r="A252" s="1"/>
      <c r="B252" s="1"/>
      <c r="F252" s="1"/>
      <c r="G252" s="1"/>
      <c r="H252" s="1"/>
    </row>
    <row r="253" spans="1:8" ht="12.75">
      <c r="A253" s="1"/>
      <c r="B253" s="1"/>
      <c r="F253" s="1"/>
      <c r="G253" s="1"/>
      <c r="H253" s="1"/>
    </row>
    <row r="254" spans="1:8" ht="12.75">
      <c r="A254" s="1"/>
      <c r="B254" s="1"/>
      <c r="F254" s="1"/>
      <c r="G254" s="1"/>
      <c r="H254" s="1"/>
    </row>
    <row r="255" spans="1:8" ht="12.75">
      <c r="A255" s="1"/>
      <c r="B255" s="1"/>
      <c r="F255" s="1"/>
      <c r="G255" s="1"/>
      <c r="H255" s="1"/>
    </row>
    <row r="256" spans="1:8" ht="12.75">
      <c r="A256" s="1"/>
      <c r="B256" s="1"/>
      <c r="F256" s="1"/>
      <c r="G256" s="1"/>
      <c r="H256" s="1"/>
    </row>
    <row r="257" spans="1:8" ht="12.75">
      <c r="A257" s="1"/>
      <c r="B257" s="1"/>
      <c r="F257" s="1"/>
      <c r="G257" s="1"/>
      <c r="H257" s="1"/>
    </row>
  </sheetData>
  <sheetProtection password="C95B" sheet="1" objects="1" scenarios="1"/>
  <mergeCells count="136">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s>
  <conditionalFormatting sqref="B57:E57">
    <cfRule type="expression" priority="45" dxfId="5" stopIfTrue="1">
      <formula>$B57&lt;&gt;""</formula>
    </cfRule>
  </conditionalFormatting>
  <conditionalFormatting sqref="A48 H57:K57 A29:C29 J29 F29 A32 P29 G32 K32">
    <cfRule type="expression" priority="51" dxfId="5" stopIfTrue="1">
      <formula>A29&lt;&gt;""</formula>
    </cfRule>
  </conditionalFormatting>
  <conditionalFormatting sqref="G53:K53 G57:K57 G54:G56">
    <cfRule type="expression" priority="46" dxfId="415" stopIfTrue="1">
      <formula>$K$52&lt;&gt;"SIM"</formula>
    </cfRule>
  </conditionalFormatting>
  <conditionalFormatting sqref="A40:X43">
    <cfRule type="expression" priority="59" dxfId="87" stopIfTrue="1">
      <formula>OR(TipoOrçamento="BASE",TipoOrçamento="REPROGRAMADONPL")</formula>
    </cfRule>
    <cfRule type="expression" priority="60" dxfId="5" stopIfTrue="1">
      <formula>A40&lt;&gt;""</formula>
    </cfRule>
  </conditionalFormatting>
  <conditionalFormatting sqref="A35:X38">
    <cfRule type="expression" priority="61" dxfId="87" stopIfTrue="1">
      <formula>OR(TipoOrçamento="LICITADO",TipoOrçamento="REPROGRAMADOAC")</formula>
    </cfRule>
    <cfRule type="expression" priority="62" dxfId="5" stopIfTrue="1">
      <formula>A35&lt;&gt;""</formula>
    </cfRule>
  </conditionalFormatting>
  <conditionalFormatting sqref="Q32">
    <cfRule type="expression" priority="4" dxfId="5" stopIfTrue="1">
      <formula>Q32&lt;&gt;""</formula>
    </cfRule>
  </conditionalFormatting>
  <conditionalFormatting sqref="B54:E55 B56">
    <cfRule type="expression" priority="3" dxfId="5" stopIfTrue="1">
      <formula>$B54&lt;&gt;""</formula>
    </cfRule>
  </conditionalFormatting>
  <conditionalFormatting sqref="H54:K54 H55:H56">
    <cfRule type="expression" priority="2" dxfId="5" stopIfTrue="1">
      <formula>H54&lt;&gt;""</formula>
    </cfRule>
  </conditionalFormatting>
  <conditionalFormatting sqref="H54:K54 H55:H56">
    <cfRule type="expression" priority="1" dxfId="415" stopIfTrue="1">
      <formula>$K$52&lt;&gt;"SIM"</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10;Formato 0.000.000-00/0000." sqref="A29:B29"/>
  </dataValidations>
  <printOptions/>
  <pageMargins left="0.78740157480315" right="0.78740157480315" top="0.78740157480315" bottom="0.78740157480315" header="5.70866141732284" footer="0.590551181102362"/>
  <pageSetup fitToHeight="1" fitToWidth="1" orientation="portrait" paperSize="9" scale="41" r:id="rId1"/>
  <headerFooter alignWithMargins="0">
    <oddHeader>&amp;L_</oddHeader>
    <oddFooter>&amp;L27.476 v008   micro&amp;R&amp;P</oddFooter>
  </headerFooter>
</worksheet>
</file>

<file path=xl/worksheets/sheet2.xml><?xml version="1.0" encoding="utf-8"?>
<worksheet xmlns="http://schemas.openxmlformats.org/spreadsheetml/2006/main" xmlns:r="http://schemas.openxmlformats.org/officeDocument/2006/relationships">
  <sheetPr codeName="Plan4">
    <tabColor rgb="FFFFFF00"/>
    <pageSetUpPr fitToPage="1"/>
  </sheetPr>
  <dimension ref="A1:AE60"/>
  <sheetViews>
    <sheetView showGridLines="0" zoomScaleSheetLayoutView="100" zoomScalePageLayoutView="70" workbookViewId="0" topLeftCell="I7">
      <selection activeCell="R50" sqref="A1:R50"/>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39" t="s">
        <v>151</v>
      </c>
      <c r="J4" s="241"/>
      <c r="K4" s="239" t="s">
        <v>174</v>
      </c>
      <c r="L4" s="240"/>
      <c r="M4" s="240"/>
      <c r="N4" s="240"/>
      <c r="O4" s="240"/>
      <c r="P4" s="240"/>
      <c r="Q4" s="240"/>
      <c r="R4" s="241"/>
    </row>
    <row r="5" spans="1:19" ht="12.75" customHeight="1">
      <c r="A5" s="52" t="str">
        <f>A4</f>
        <v>Construção e Reforma de Edifícios</v>
      </c>
      <c r="B5" s="54" t="s">
        <v>32</v>
      </c>
      <c r="C5" s="52" t="str">
        <f t="shared" si="0"/>
        <v>Construção e Reforma de Edifícios-DF</v>
      </c>
      <c r="E5" s="55">
        <v>0.0059</v>
      </c>
      <c r="F5" s="55">
        <v>0.0123</v>
      </c>
      <c r="G5" s="55">
        <v>0.0139</v>
      </c>
      <c r="I5" s="329">
        <f>DADOS!A29</f>
        <v>0</v>
      </c>
      <c r="J5" s="330"/>
      <c r="K5" s="331">
        <f>DADOS!A32</f>
        <v>0</v>
      </c>
      <c r="L5" s="332"/>
      <c r="M5" s="332"/>
      <c r="N5" s="332"/>
      <c r="O5" s="332"/>
      <c r="P5" s="332"/>
      <c r="Q5" s="332"/>
      <c r="R5" s="333"/>
      <c r="S5" s="57"/>
    </row>
    <row r="6" spans="1:18" ht="6" customHeight="1">
      <c r="A6" s="52" t="str">
        <f>A5</f>
        <v>Construção e Reforma de Edifícios</v>
      </c>
      <c r="B6" s="54" t="s">
        <v>165</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39" t="s">
        <v>0</v>
      </c>
      <c r="J7" s="240"/>
      <c r="K7" s="240"/>
      <c r="L7" s="240"/>
      <c r="M7" s="240"/>
      <c r="N7" s="240"/>
      <c r="O7" s="240"/>
      <c r="P7" s="240"/>
      <c r="Q7" s="240"/>
      <c r="R7" s="241"/>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34" t="str">
        <f>DADOS!P29</f>
        <v>CANTEIROS-ABERTURA/ ESTACIONAMENTO/ PAISAGISMO/CICLOVIA</v>
      </c>
      <c r="J8" s="334"/>
      <c r="K8" s="334"/>
      <c r="L8" s="334"/>
      <c r="M8" s="334"/>
      <c r="N8" s="334"/>
      <c r="O8" s="334"/>
      <c r="P8" s="334"/>
      <c r="Q8" s="334"/>
      <c r="R8" s="334"/>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39" t="s">
        <v>35</v>
      </c>
      <c r="J10" s="240"/>
      <c r="K10" s="240"/>
      <c r="L10" s="240"/>
      <c r="M10" s="240"/>
      <c r="N10" s="240"/>
      <c r="O10" s="240"/>
      <c r="P10" s="240"/>
      <c r="Q10" s="239" t="s">
        <v>13</v>
      </c>
      <c r="R10" s="241"/>
    </row>
    <row r="11" spans="1:18" ht="12.75">
      <c r="A11" s="52" t="s">
        <v>34</v>
      </c>
      <c r="B11" s="54" t="s">
        <v>32</v>
      </c>
      <c r="C11" s="52" t="str">
        <f t="shared" si="0"/>
        <v>Construção de Praças Urbanas, Rodovias, Ferrovias e recapeamento e pavimentação de vias urbanas-DF</v>
      </c>
      <c r="E11" s="55">
        <v>0.0102</v>
      </c>
      <c r="F11" s="55">
        <v>0.0111</v>
      </c>
      <c r="G11" s="55">
        <v>0.0121</v>
      </c>
      <c r="I11" s="324" t="s">
        <v>28</v>
      </c>
      <c r="J11" s="325"/>
      <c r="K11" s="325"/>
      <c r="L11" s="325"/>
      <c r="M11" s="325"/>
      <c r="N11" s="325"/>
      <c r="O11" s="325"/>
      <c r="P11" s="326"/>
      <c r="Q11" s="327" t="str">
        <f>DADOS!$C$38</f>
        <v>Não</v>
      </c>
      <c r="R11" s="328"/>
    </row>
    <row r="12" spans="1:7" ht="12.75">
      <c r="A12" s="52" t="s">
        <v>34</v>
      </c>
      <c r="B12" s="54" t="s">
        <v>165</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21" t="s">
        <v>36</v>
      </c>
      <c r="J13" s="321"/>
      <c r="K13" s="321"/>
      <c r="L13" s="321"/>
      <c r="M13" s="321"/>
      <c r="N13" s="321"/>
      <c r="O13" s="321"/>
      <c r="P13" s="321"/>
      <c r="Q13" s="318">
        <v>0.6</v>
      </c>
      <c r="R13" s="318"/>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19" t="s">
        <v>38</v>
      </c>
      <c r="J14" s="319"/>
      <c r="K14" s="319"/>
      <c r="L14" s="319"/>
      <c r="M14" s="319"/>
      <c r="N14" s="319"/>
      <c r="O14" s="319"/>
      <c r="P14" s="319"/>
      <c r="Q14" s="318">
        <v>0.05</v>
      </c>
      <c r="R14" s="318"/>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20" t="s">
        <v>39</v>
      </c>
      <c r="J16" s="320"/>
      <c r="K16" s="320"/>
      <c r="L16" s="320"/>
      <c r="M16" s="320" t="s">
        <v>40</v>
      </c>
      <c r="N16" s="323" t="s">
        <v>41</v>
      </c>
      <c r="O16" s="323" t="s">
        <v>42</v>
      </c>
      <c r="P16" s="322" t="s">
        <v>43</v>
      </c>
      <c r="Q16" s="322" t="s">
        <v>44</v>
      </c>
      <c r="R16" s="339" t="s">
        <v>45</v>
      </c>
      <c r="T16" s="335">
        <f>IF(V27,"Para BDI fora do intervalo estatístico, deve ser apresentado Relatório Técnico Circunstanciado justificando a adoção do percentual de cada parcela do BDI.","")</f>
      </c>
      <c r="U16" s="335"/>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20"/>
      <c r="J17" s="320"/>
      <c r="K17" s="320"/>
      <c r="L17" s="320"/>
      <c r="M17" s="320"/>
      <c r="N17" s="323"/>
      <c r="O17" s="323"/>
      <c r="P17" s="322"/>
      <c r="Q17" s="322"/>
      <c r="R17" s="339"/>
      <c r="T17" s="335"/>
      <c r="U17" s="335"/>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37" t="str">
        <f>IF($I$11=$A$59,"Encargos Sociais incidentes sobre a mão de obra","Administração Central")</f>
        <v>Administração Central</v>
      </c>
      <c r="J18" s="337"/>
      <c r="K18" s="337"/>
      <c r="L18" s="337"/>
      <c r="M18" s="60" t="str">
        <f>IF($I$11=$A$59,"K1","AC")</f>
        <v>AC</v>
      </c>
      <c r="N18" s="61">
        <v>0.03</v>
      </c>
      <c r="O18" s="62" t="s">
        <v>46</v>
      </c>
      <c r="P18" s="63">
        <f>VLOOKUP(CONCATENATE(I$11,"-",M18),$C$2:$G$49,3,FALSE)</f>
        <v>0.03</v>
      </c>
      <c r="Q18" s="63">
        <f>VLOOKUP(CONCATENATE(I$11,"-",M18),$C$2:$G$49,4,FALSE)</f>
        <v>0.04</v>
      </c>
      <c r="R18" s="63">
        <f>VLOOKUP(CONCATENATE(I$11,"-",M18),$C$2:$G$49,5,FALSE)</f>
        <v>0.055</v>
      </c>
      <c r="T18" s="335"/>
      <c r="U18" s="335"/>
      <c r="V18" s="108"/>
      <c r="W18" s="108"/>
      <c r="X18" s="108"/>
      <c r="Y18" s="108"/>
      <c r="Z18" s="108"/>
      <c r="AA18" s="108"/>
      <c r="AB18" s="108"/>
      <c r="AC18" s="108"/>
    </row>
    <row r="19" spans="1:29" ht="26.25" customHeight="1">
      <c r="A19" s="52" t="str">
        <f>A18</f>
        <v>Construção de Redes de Abastecimento de Água, Coleta de Esgoto</v>
      </c>
      <c r="B19" s="54" t="s">
        <v>165</v>
      </c>
      <c r="C19" s="52" t="str">
        <f t="shared" si="0"/>
        <v>Construção de Redes de Abastecimento de Água, Coleta de Esgoto-L</v>
      </c>
      <c r="E19" s="55">
        <v>0.0674</v>
      </c>
      <c r="F19" s="55">
        <v>0.08039999999999999</v>
      </c>
      <c r="G19" s="55">
        <v>0.094</v>
      </c>
      <c r="I19" s="337" t="str">
        <f>IF($I$11=$A$59,"Administração Central da empresa ou consultoria - overhead","Seguro e Garantia")</f>
        <v>Seguro e Garantia</v>
      </c>
      <c r="J19" s="337"/>
      <c r="K19" s="337"/>
      <c r="L19" s="337"/>
      <c r="M19" s="60" t="str">
        <f>IF($I$11=$A$59,"K2","SG")</f>
        <v>SG</v>
      </c>
      <c r="N19" s="61">
        <v>0.009</v>
      </c>
      <c r="O19" s="62" t="s">
        <v>46</v>
      </c>
      <c r="P19" s="63">
        <f>VLOOKUP(CONCATENATE(I$11,"-",M19),$C$2:$G$49,3,FALSE)</f>
        <v>0.008</v>
      </c>
      <c r="Q19" s="63">
        <f>VLOOKUP(CONCATENATE(I$11,"-",M19),$C$2:$G$49,4,FALSE)</f>
        <v>0.008</v>
      </c>
      <c r="R19" s="63">
        <f>VLOOKUP(CONCATENATE(I$11,"-",M19),$C$2:$G$49,5,FALSE)</f>
        <v>0.01</v>
      </c>
      <c r="T19" s="335"/>
      <c r="U19" s="335"/>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37" t="str">
        <f>IF($I$11=$A$59,"","Risco")</f>
        <v>Risco</v>
      </c>
      <c r="J20" s="337"/>
      <c r="K20" s="337"/>
      <c r="L20" s="337"/>
      <c r="M20" s="60" t="str">
        <f>IF($I$11=$A$59,"","R")</f>
        <v>R</v>
      </c>
      <c r="N20" s="61">
        <v>0.0097</v>
      </c>
      <c r="O20" s="62" t="s">
        <v>46</v>
      </c>
      <c r="P20" s="63">
        <f>VLOOKUP(CONCATENATE(I$11,"-",M20),$C$2:$G$49,3,FALSE)</f>
        <v>0.0097</v>
      </c>
      <c r="Q20" s="63">
        <f>VLOOKUP(CONCATENATE(I$11,"-",M20),$C$2:$G$49,4,FALSE)</f>
        <v>0.0127</v>
      </c>
      <c r="R20" s="63">
        <f>VLOOKUP(CONCATENATE(I$11,"-",M20),$C$2:$G$49,5,FALSE)</f>
        <v>0.0127</v>
      </c>
      <c r="T20" s="335"/>
      <c r="U20" s="335"/>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37" t="str">
        <f>IF($I$11=$A$59,"","Despesas Financeiras")</f>
        <v>Despesas Financeiras</v>
      </c>
      <c r="J21" s="337"/>
      <c r="K21" s="337"/>
      <c r="L21" s="337"/>
      <c r="M21" s="60" t="str">
        <f>IF($I$11=$A$59,"","DF")</f>
        <v>DF</v>
      </c>
      <c r="N21" s="61">
        <v>0.009</v>
      </c>
      <c r="O21" s="62" t="s">
        <v>46</v>
      </c>
      <c r="P21" s="63">
        <f>VLOOKUP(CONCATENATE(I$11,"-",M21),$C$2:$G$49,3,FALSE)</f>
        <v>0.0059</v>
      </c>
      <c r="Q21" s="63">
        <f>VLOOKUP(CONCATENATE(I$11,"-",M21),$C$2:$G$49,4,FALSE)</f>
        <v>0.0123</v>
      </c>
      <c r="R21" s="63">
        <f>VLOOKUP(CONCATENATE(I$11,"-",M21),$C$2:$G$49,5,FALSE)</f>
        <v>0.0139</v>
      </c>
      <c r="T21" s="335"/>
      <c r="U21" s="335"/>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37" t="str">
        <f>IF($I$11=$A$59,"Margem bruta da empresa de consultoria","Lucro")</f>
        <v>Lucro</v>
      </c>
      <c r="J22" s="337"/>
      <c r="K22" s="337"/>
      <c r="L22" s="337"/>
      <c r="M22" s="60" t="str">
        <f>IF($I$11=$A$59,"K3","L")</f>
        <v>L</v>
      </c>
      <c r="N22" s="61">
        <v>0.079</v>
      </c>
      <c r="O22" s="62" t="s">
        <v>46</v>
      </c>
      <c r="P22" s="63">
        <f>VLOOKUP(CONCATENATE(I$11,"-",M22),$C$2:$G$49,3,FALSE)</f>
        <v>0.0616</v>
      </c>
      <c r="Q22" s="63">
        <f>VLOOKUP(CONCATENATE(I$11,"-",M22),$C$2:$G$49,4,FALSE)</f>
        <v>0.07400000000000001</v>
      </c>
      <c r="R22" s="63">
        <f>VLOOKUP(CONCATENATE(I$11,"-",M22),$C$2:$G$49,5,FALSE)</f>
        <v>0.08960000000000001</v>
      </c>
      <c r="T22" s="335"/>
      <c r="U22" s="335"/>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38" t="s">
        <v>48</v>
      </c>
      <c r="J23" s="338"/>
      <c r="K23" s="338"/>
      <c r="L23" s="338"/>
      <c r="M23" s="60" t="s">
        <v>49</v>
      </c>
      <c r="N23" s="61">
        <v>0.0365</v>
      </c>
      <c r="O23" s="62" t="s">
        <v>46</v>
      </c>
      <c r="P23" s="63">
        <v>0.0365</v>
      </c>
      <c r="Q23" s="63">
        <v>0.0365</v>
      </c>
      <c r="R23" s="63">
        <v>0.0365</v>
      </c>
      <c r="T23" s="335"/>
      <c r="U23" s="335"/>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37" t="s">
        <v>50</v>
      </c>
      <c r="J24" s="337"/>
      <c r="K24" s="337"/>
      <c r="L24" s="337"/>
      <c r="M24" s="60" t="s">
        <v>51</v>
      </c>
      <c r="N24" s="63">
        <f>IF($I$11&lt;&gt;$A$58,Q14*Q13,0)</f>
        <v>0.03</v>
      </c>
      <c r="O24" s="62" t="s">
        <v>46</v>
      </c>
      <c r="P24" s="63">
        <v>0</v>
      </c>
      <c r="Q24" s="63">
        <v>0.025</v>
      </c>
      <c r="R24" s="63">
        <v>0.05</v>
      </c>
      <c r="T24" s="335"/>
      <c r="U24" s="335"/>
    </row>
    <row r="25" spans="1:18" ht="26.25" customHeight="1">
      <c r="A25" s="52" t="str">
        <f>A24</f>
        <v>Construção e Manutenção de Estações e Redes de Distribuição de Energia Elétrica</v>
      </c>
      <c r="B25" s="54" t="s">
        <v>165</v>
      </c>
      <c r="C25" s="52" t="str">
        <f t="shared" si="0"/>
        <v>Construção e Manutenção de Estações e Redes de Distribuição de Energia Elétrica-L</v>
      </c>
      <c r="E25" s="55">
        <v>0.08</v>
      </c>
      <c r="F25" s="55">
        <v>0.08310000000000001</v>
      </c>
      <c r="G25" s="55">
        <v>0.0951</v>
      </c>
      <c r="I25" s="337" t="s">
        <v>117</v>
      </c>
      <c r="J25" s="337"/>
      <c r="K25" s="337"/>
      <c r="L25" s="337"/>
      <c r="M25" s="60" t="s">
        <v>52</v>
      </c>
      <c r="N25" s="63">
        <f>IF(AND($I$11&lt;&gt;$A$58,Q11="Sim"),4.5%,0%)</f>
        <v>0</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37" t="s">
        <v>53</v>
      </c>
      <c r="J26" s="337"/>
      <c r="K26" s="337"/>
      <c r="L26" s="337"/>
      <c r="M26" s="65" t="s">
        <v>33</v>
      </c>
      <c r="N26" s="63">
        <f>IF($I$11=$A$58,0,ROUND((((1+N18+N19+N20)*(1+N21)*(1+N22)/(1-(N23+N24)))-1),4))</f>
        <v>0.2231</v>
      </c>
      <c r="O26" s="106" t="str">
        <f>IF(OR($I$11=$A$59,$I$11=$A$58,AND(N26&gt;=P26,N26&lt;=R26)),"OK","FORA DO INTERVALO")</f>
        <v>OK</v>
      </c>
      <c r="P26" s="63">
        <f>IF($I$11=$A$58,0,VLOOKUP(CONCATENATE($I$11,"-",$M26),$C$2:$G$49,3,FALSE))</f>
        <v>0.2034</v>
      </c>
      <c r="Q26" s="63">
        <f>IF($I$11=$A$58,0,VLOOKUP(CONCATENATE($I$11,"-",$M26),$C$2:$G$49,4,FALSE))</f>
        <v>0.2212</v>
      </c>
      <c r="R26" s="63">
        <f>IF($I$11=$A$58,0,VLOOKUP(CONCATENATE($I$11,"-",$M26),$C$2:$G$49,5,FALSE))</f>
        <v>0.25</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48" t="s">
        <v>55</v>
      </c>
      <c r="J27" s="348"/>
      <c r="K27" s="348"/>
      <c r="L27" s="348"/>
      <c r="M27" s="66" t="s">
        <v>56</v>
      </c>
      <c r="N27" s="67">
        <f>IF($I$11=$A$58,0,ROUND((((1+N18+N19+N20)*(1+N21)*(1+N22)/(1-(N23+N24+N25)))-1),4))</f>
        <v>0.2231</v>
      </c>
      <c r="O27" s="110">
        <f>IF(Q11&lt;&gt;"Sim","",O26)</f>
      </c>
      <c r="P27" s="349"/>
      <c r="Q27" s="349"/>
      <c r="R27" s="349"/>
      <c r="T27" s="107"/>
      <c r="V27" s="111" t="b">
        <f>AND(COUNTA(N18:N23)=6,O26&lt;&gt;"ok",NOT(V29))</f>
        <v>0</v>
      </c>
      <c r="W27" s="52" t="s">
        <v>119</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f>IF(V29,"X","")</f>
      </c>
      <c r="J29" s="347" t="s">
        <v>118</v>
      </c>
      <c r="K29" s="347"/>
      <c r="L29" s="347"/>
      <c r="M29" s="347"/>
      <c r="N29" s="347"/>
      <c r="O29" s="347"/>
      <c r="P29" s="347"/>
      <c r="Q29" s="347"/>
      <c r="R29" s="347"/>
      <c r="V29" s="111" t="b">
        <v>0</v>
      </c>
      <c r="W29" s="52" t="s">
        <v>120</v>
      </c>
    </row>
    <row r="30" spans="2:22" ht="7.5" customHeight="1">
      <c r="B30" s="54"/>
      <c r="E30" s="55"/>
      <c r="F30" s="55"/>
      <c r="G30" s="55"/>
      <c r="V30" s="111"/>
    </row>
    <row r="31" spans="2:18" ht="18.75" customHeight="1">
      <c r="B31" s="54"/>
      <c r="E31" s="55"/>
      <c r="F31" s="55"/>
      <c r="G31" s="55"/>
      <c r="I31" s="350" t="s">
        <v>61</v>
      </c>
      <c r="J31" s="350"/>
      <c r="K31" s="350"/>
      <c r="L31" s="350"/>
      <c r="M31" s="350"/>
      <c r="N31" s="350"/>
      <c r="O31" s="350"/>
      <c r="P31" s="350"/>
      <c r="Q31" s="350"/>
      <c r="R31" s="350"/>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45" t="str">
        <f>IF(Q11="Sim","BDI.DES =","BDI.PAD =")</f>
        <v>BDI.PAD =</v>
      </c>
      <c r="M32" s="343" t="str">
        <f>IF($I$11=$A$59,"(1+K1+K2)*(1+K3)","(1+AC + S + R + G)*(1 + DF)*(1+L)")</f>
        <v>(1+AC + S + R + G)*(1 + DF)*(1+L)</v>
      </c>
      <c r="N32" s="343"/>
      <c r="O32" s="343"/>
      <c r="P32" s="341" t="s">
        <v>109</v>
      </c>
      <c r="Q32" s="100"/>
      <c r="R32" s="100"/>
    </row>
    <row r="33" spans="1:18" ht="27" customHeight="1">
      <c r="A33" s="52" t="str">
        <f>A32</f>
        <v>Obras Portuárias, Marítimas e Fluviais</v>
      </c>
      <c r="B33" s="54" t="s">
        <v>165</v>
      </c>
      <c r="C33" s="52" t="str">
        <f t="shared" si="0"/>
        <v>Obras Portuárias, Marítimas e Fluviais-L</v>
      </c>
      <c r="E33" s="55">
        <v>0.07139999999999999</v>
      </c>
      <c r="F33" s="55">
        <v>0.084</v>
      </c>
      <c r="G33" s="55">
        <v>0.1043</v>
      </c>
      <c r="I33" s="100"/>
      <c r="J33" s="100"/>
      <c r="K33" s="100"/>
      <c r="L33" s="345"/>
      <c r="M33" s="344" t="str">
        <f>IF(Q11="Sim","(1-CP-ISS-CRPB)","(1-CP-ISS)")</f>
        <v>(1-CP-ISS)</v>
      </c>
      <c r="N33" s="344"/>
      <c r="O33" s="344"/>
      <c r="P33" s="342"/>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40"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60%, com a respectiva alíquota de 5%.</v>
      </c>
      <c r="J35" s="340"/>
      <c r="K35" s="340"/>
      <c r="L35" s="340"/>
      <c r="M35" s="340"/>
      <c r="N35" s="340"/>
      <c r="O35" s="340"/>
      <c r="P35" s="340"/>
      <c r="Q35" s="340"/>
      <c r="R35" s="340"/>
    </row>
    <row r="36" spans="2:7" ht="11.25" customHeight="1">
      <c r="B36" s="59"/>
      <c r="E36" s="55"/>
      <c r="F36" s="55"/>
      <c r="G36" s="55"/>
    </row>
    <row r="37" spans="2:18" ht="52.5" customHeight="1">
      <c r="B37" s="59"/>
      <c r="E37" s="55"/>
      <c r="F37" s="55"/>
      <c r="G37" s="55"/>
      <c r="I37" s="340"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40"/>
      <c r="K37" s="340"/>
      <c r="L37" s="340"/>
      <c r="M37" s="340"/>
      <c r="N37" s="340"/>
      <c r="O37" s="340"/>
      <c r="P37" s="340"/>
      <c r="Q37" s="340"/>
      <c r="R37" s="340"/>
    </row>
    <row r="38" spans="1:7" ht="18" customHeight="1">
      <c r="A38" s="52" t="s">
        <v>138</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52"/>
      <c r="J40" s="353"/>
      <c r="K40" s="353"/>
      <c r="L40" s="353"/>
      <c r="M40" s="353"/>
      <c r="N40" s="353"/>
      <c r="O40" s="353"/>
      <c r="P40" s="353"/>
      <c r="Q40" s="353"/>
      <c r="R40" s="354"/>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165</v>
      </c>
      <c r="C42" s="52" t="str">
        <f t="shared" si="0"/>
        <v>Fornecimento de Materiais e Equipamentos (aquisição indireta - em conjunto com licitação de obras)-L</v>
      </c>
      <c r="E42" s="55">
        <v>0.035</v>
      </c>
      <c r="F42" s="55">
        <v>0.051100000000000007</v>
      </c>
      <c r="G42" s="55">
        <v>0.0622</v>
      </c>
      <c r="I42" s="336" t="str">
        <f>PO!K61</f>
        <v>NAVIRAÍ - MS</v>
      </c>
      <c r="J42" s="336"/>
      <c r="K42" s="336"/>
      <c r="L42" s="336"/>
      <c r="O42" s="351">
        <f>PO!K64</f>
        <v>43979</v>
      </c>
      <c r="P42" s="351"/>
      <c r="Q42" s="351"/>
      <c r="R42" s="351"/>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17" t="s">
        <v>121</v>
      </c>
      <c r="J43" s="317"/>
      <c r="K43" s="317"/>
      <c r="L43" s="317"/>
      <c r="N43" s="68"/>
      <c r="O43" s="144" t="s">
        <v>122</v>
      </c>
      <c r="P43" s="145"/>
      <c r="Q43" s="145"/>
      <c r="R43" s="145"/>
    </row>
    <row r="44" spans="1:7" ht="12.75">
      <c r="A44" s="52" t="s">
        <v>59</v>
      </c>
      <c r="B44" s="54" t="s">
        <v>105</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106</v>
      </c>
      <c r="C45" s="52" t="str">
        <f t="shared" si="0"/>
        <v>Estudos e Projetos, Planos e Gerenciamento e outros correlatos-K2</v>
      </c>
      <c r="E45" s="55" t="s">
        <v>46</v>
      </c>
      <c r="F45" s="55">
        <v>0.2</v>
      </c>
      <c r="G45" s="55" t="s">
        <v>46</v>
      </c>
      <c r="I45" s="316"/>
      <c r="J45" s="316"/>
      <c r="K45" s="316"/>
      <c r="L45" s="316"/>
      <c r="M45" s="69"/>
      <c r="N45" s="69"/>
      <c r="O45" s="316"/>
      <c r="P45" s="316"/>
      <c r="Q45" s="316"/>
      <c r="R45" s="316"/>
    </row>
    <row r="46" spans="1:18" ht="12.75">
      <c r="A46" s="52" t="str">
        <f>A45</f>
        <v>Estudos e Projetos, Planos e Gerenciamento e outros correlatos</v>
      </c>
      <c r="B46" s="54" t="s">
        <v>107</v>
      </c>
      <c r="C46" s="52" t="str">
        <f t="shared" si="0"/>
        <v>Estudos e Projetos, Planos e Gerenciamento e outros correlatos-</v>
      </c>
      <c r="E46" s="55" t="s">
        <v>46</v>
      </c>
      <c r="F46" s="55" t="s">
        <v>46</v>
      </c>
      <c r="G46" s="55" t="s">
        <v>46</v>
      </c>
      <c r="I46" s="355" t="s">
        <v>57</v>
      </c>
      <c r="J46" s="355"/>
      <c r="K46" s="355"/>
      <c r="L46" s="355"/>
      <c r="M46" s="70"/>
      <c r="N46" s="70"/>
      <c r="O46" s="355" t="s">
        <v>58</v>
      </c>
      <c r="P46" s="355"/>
      <c r="Q46" s="355"/>
      <c r="R46" s="355"/>
    </row>
    <row r="47" spans="1:18" ht="14.25">
      <c r="A47" s="52" t="str">
        <f>A46</f>
        <v>Estudos e Projetos, Planos e Gerenciamento e outros correlatos</v>
      </c>
      <c r="B47" s="54" t="s">
        <v>107</v>
      </c>
      <c r="C47" s="52" t="str">
        <f t="shared" si="0"/>
        <v>Estudos e Projetos, Planos e Gerenciamento e outros correlatos-</v>
      </c>
      <c r="E47" s="55" t="s">
        <v>46</v>
      </c>
      <c r="F47" s="55" t="s">
        <v>46</v>
      </c>
      <c r="G47" s="55" t="s">
        <v>46</v>
      </c>
      <c r="I47" s="29" t="s">
        <v>141</v>
      </c>
      <c r="J47" s="346">
        <f>DADOS!B54</f>
        <v>0</v>
      </c>
      <c r="K47" s="346"/>
      <c r="L47" s="346"/>
      <c r="M47" s="71"/>
      <c r="N47" s="71"/>
      <c r="O47" s="29" t="s">
        <v>141</v>
      </c>
      <c r="P47" s="315" t="s">
        <v>235</v>
      </c>
      <c r="Q47" s="315"/>
      <c r="R47" s="315"/>
    </row>
    <row r="48" spans="1:18" ht="14.25">
      <c r="A48" s="52" t="str">
        <f>A47</f>
        <v>Estudos e Projetos, Planos e Gerenciamento e outros correlatos</v>
      </c>
      <c r="B48" s="54" t="s">
        <v>108</v>
      </c>
      <c r="C48" s="52" t="str">
        <f t="shared" si="0"/>
        <v>Estudos e Projetos, Planos e Gerenciamento e outros correlatos-K3</v>
      </c>
      <c r="E48" s="55" t="s">
        <v>46</v>
      </c>
      <c r="F48" s="55">
        <v>0.12</v>
      </c>
      <c r="G48" s="55" t="s">
        <v>46</v>
      </c>
      <c r="I48" s="29" t="s">
        <v>17</v>
      </c>
      <c r="J48" s="346">
        <f>DADOS!B55</f>
        <v>0</v>
      </c>
      <c r="K48" s="346"/>
      <c r="L48" s="346"/>
      <c r="M48" s="71"/>
      <c r="N48" s="71"/>
      <c r="O48" s="29" t="s">
        <v>60</v>
      </c>
      <c r="P48" s="315" t="s">
        <v>234</v>
      </c>
      <c r="Q48" s="315"/>
      <c r="R48" s="315"/>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46">
        <f>DADOS!B56</f>
        <v>0</v>
      </c>
      <c r="K49" s="346"/>
      <c r="L49" s="346"/>
      <c r="M49" s="71"/>
      <c r="N49" s="71"/>
      <c r="O49" s="71"/>
      <c r="P49" s="71"/>
      <c r="Q49" s="71"/>
      <c r="R49" s="71"/>
    </row>
    <row r="50" spans="9:12" ht="12.75">
      <c r="I50" s="29" t="str">
        <f>DADOS!A57</f>
        <v>CNPJ:</v>
      </c>
      <c r="J50" s="346">
        <f>DADOS!B57</f>
        <v>0</v>
      </c>
      <c r="K50" s="346"/>
      <c r="L50" s="346"/>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138</v>
      </c>
    </row>
    <row r="58" ht="12.75" hidden="1">
      <c r="A58" s="52" t="s">
        <v>139</v>
      </c>
    </row>
    <row r="59" ht="12.75" hidden="1">
      <c r="A59" s="52" t="s">
        <v>59</v>
      </c>
    </row>
    <row r="60" spans="1:7" ht="14.25" hidden="1">
      <c r="A60" s="72"/>
      <c r="B60" s="71"/>
      <c r="C60" s="71"/>
      <c r="D60" s="71"/>
      <c r="E60" s="71"/>
      <c r="F60" s="71"/>
      <c r="G60" s="71"/>
    </row>
  </sheetData>
  <sheetProtection password="C95B" sheet="1" objects="1" scenarios="1"/>
  <mergeCells count="55">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I11:P11"/>
    <mergeCell ref="Q11:R11"/>
    <mergeCell ref="I4:J4"/>
    <mergeCell ref="K4:R4"/>
    <mergeCell ref="I5:J5"/>
    <mergeCell ref="K5:R5"/>
    <mergeCell ref="I7:R7"/>
    <mergeCell ref="I8:R8"/>
    <mergeCell ref="I10:P10"/>
    <mergeCell ref="Q10:R10"/>
    <mergeCell ref="P48:R48"/>
    <mergeCell ref="I45:L45"/>
    <mergeCell ref="I43:L43"/>
    <mergeCell ref="Q13:R13"/>
    <mergeCell ref="I14:P14"/>
    <mergeCell ref="Q14:R14"/>
    <mergeCell ref="M16:M17"/>
    <mergeCell ref="I13:P13"/>
    <mergeCell ref="P16:P17"/>
    <mergeCell ref="Q16:Q17"/>
    <mergeCell ref="N16:N17"/>
    <mergeCell ref="I16:L17"/>
    <mergeCell ref="O16:O17"/>
  </mergeCells>
  <conditionalFormatting sqref="O42">
    <cfRule type="expression" priority="6" dxfId="408" stopIfTrue="1">
      <formula>$O$42=""</formula>
    </cfRule>
  </conditionalFormatting>
  <conditionalFormatting sqref="O18:O27">
    <cfRule type="expression" priority="11" dxfId="426" stopIfTrue="1">
      <formula>AND(O18&lt;&gt;"OK",O18&lt;&gt;"-",O18&lt;&gt;"")</formula>
    </cfRule>
    <cfRule type="cellIs" priority="12" dxfId="427" operator="equal" stopIfTrue="1">
      <formula>"OK"</formula>
    </cfRule>
  </conditionalFormatting>
  <conditionalFormatting sqref="I26:N26">
    <cfRule type="expression" priority="10" dxfId="411" stopIfTrue="1">
      <formula>$Q$11="Não"</formula>
    </cfRule>
  </conditionalFormatting>
  <conditionalFormatting sqref="I27:N27">
    <cfRule type="expression" priority="9" dxfId="428" stopIfTrue="1">
      <formula>$Q$11="sim"</formula>
    </cfRule>
  </conditionalFormatting>
  <conditionalFormatting sqref="P27:R27">
    <cfRule type="expression" priority="8" dxfId="426" stopIfTrue="1">
      <formula>$Q$11="sim"</formula>
    </cfRule>
  </conditionalFormatting>
  <conditionalFormatting sqref="P47:R48">
    <cfRule type="expression" priority="7" dxfId="408" stopIfTrue="1">
      <formula>P47=""</formula>
    </cfRule>
  </conditionalFormatting>
  <conditionalFormatting sqref="I29:R29">
    <cfRule type="expression" priority="3" dxfId="407" stopIfTrue="1">
      <formula>AND(NOT($V$27),NOT($V$29))</formula>
    </cfRule>
  </conditionalFormatting>
  <conditionalFormatting sqref="P18:R26">
    <cfRule type="expression" priority="2" dxfId="406"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497" right="0.7874015748031497" top="0.7874015748031497" bottom="0.7874015748031497" header="0.5905511811023623" footer="0.5905511811023623"/>
  <pageSetup fitToHeight="1" fitToWidth="1" horizontalDpi="600" verticalDpi="600" orientation="portrait" paperSize="9" scale="78" r:id="rId3"/>
  <headerFooter alignWithMargins="0">
    <oddHeader>&amp;C&amp;14I</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Plan1">
    <tabColor rgb="FFFFFF00"/>
    <pageSetUpPr fitToPage="1"/>
  </sheetPr>
  <dimension ref="A1:AA65"/>
  <sheetViews>
    <sheetView showGridLines="0" tabSelected="1" zoomScale="80" zoomScaleNormal="80" zoomScaleSheetLayoutView="100" zoomScalePageLayoutView="0" workbookViewId="0" topLeftCell="J1">
      <pane ySplit="12" topLeftCell="A22" activePane="bottomLeft" state="frozen"/>
      <selection pane="topLeft" activeCell="A1" sqref="A1"/>
      <selection pane="bottomLeft" activeCell="Y13" sqref="Y13:Y49"/>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71093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75" customHeight="1">
      <c r="A1" s="79"/>
      <c r="B1" s="79"/>
      <c r="D1" s="117"/>
      <c r="E1" s="118"/>
      <c r="F1" s="79"/>
      <c r="G1" s="79"/>
      <c r="H1" s="79"/>
      <c r="I1" s="79"/>
      <c r="J1" s="80"/>
      <c r="K1" s="79"/>
      <c r="L1" s="79"/>
      <c r="M1" s="79"/>
      <c r="N1" s="99" t="s">
        <v>168</v>
      </c>
      <c r="O1" s="79"/>
      <c r="P1" s="81"/>
      <c r="Q1" s="79"/>
      <c r="R1" s="79"/>
      <c r="S1" s="79"/>
      <c r="T1" s="77" t="s">
        <v>166</v>
      </c>
      <c r="U1" s="4"/>
      <c r="V1" s="4"/>
      <c r="W1" s="4"/>
      <c r="X1" s="4"/>
      <c r="Y1" s="4"/>
      <c r="Z1" s="4"/>
      <c r="AA1" s="4"/>
    </row>
    <row r="2" spans="1:27" ht="12.75" customHeight="1">
      <c r="A2" s="4"/>
      <c r="B2" s="20" t="s">
        <v>158</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167</v>
      </c>
      <c r="U2" s="4"/>
      <c r="V2" s="4"/>
      <c r="W2" s="356" t="s">
        <v>182</v>
      </c>
      <c r="X2" s="356"/>
      <c r="Y2" s="4"/>
      <c r="Z2" s="4"/>
      <c r="AA2" s="4"/>
    </row>
    <row r="3" spans="1:27" ht="12.75" customHeight="1">
      <c r="A3" s="4"/>
      <c r="B3" s="4"/>
      <c r="D3" s="117"/>
      <c r="F3" s="5"/>
      <c r="G3" s="4"/>
      <c r="H3" s="4"/>
      <c r="I3" s="4"/>
      <c r="J3" s="4"/>
      <c r="K3" s="4"/>
      <c r="L3" s="4"/>
      <c r="M3" s="4"/>
      <c r="N3" s="131"/>
      <c r="O3" s="4"/>
      <c r="P3" s="4"/>
      <c r="Q3" s="4"/>
      <c r="R3" s="4"/>
      <c r="S3" s="4"/>
      <c r="T3" s="4"/>
      <c r="U3" s="4"/>
      <c r="V3" s="4"/>
      <c r="W3" s="211" t="s">
        <v>149</v>
      </c>
      <c r="X3" s="214" t="b">
        <v>1</v>
      </c>
      <c r="Y3" s="4"/>
      <c r="Z3" s="4"/>
      <c r="AA3" s="4"/>
    </row>
    <row r="4" spans="1:27" ht="24.75" customHeight="1">
      <c r="A4" s="4" t="s">
        <v>127</v>
      </c>
      <c r="B4" s="4"/>
      <c r="D4" s="117"/>
      <c r="F4" s="5"/>
      <c r="G4" s="4"/>
      <c r="H4" s="4"/>
      <c r="I4" s="4"/>
      <c r="J4" s="4"/>
      <c r="K4" s="4"/>
      <c r="L4" s="4"/>
      <c r="M4" s="4"/>
      <c r="N4" s="4"/>
      <c r="O4" s="4"/>
      <c r="P4" s="4"/>
      <c r="Q4" s="4"/>
      <c r="R4" s="4"/>
      <c r="S4" s="4"/>
      <c r="T4" s="4"/>
      <c r="U4" s="153" t="s">
        <v>189</v>
      </c>
      <c r="W4" s="211" t="s">
        <v>183</v>
      </c>
      <c r="X4" s="214" t="b">
        <v>1</v>
      </c>
      <c r="Y4" s="4"/>
      <c r="Z4" s="4"/>
      <c r="AA4" s="4"/>
    </row>
    <row r="5" spans="1:27" ht="24.75" customHeight="1">
      <c r="A5" s="9">
        <f>MAX($A$12:$A$50)</f>
        <v>2</v>
      </c>
      <c r="B5" s="4"/>
      <c r="D5" s="117"/>
      <c r="F5" s="5"/>
      <c r="G5" s="4"/>
      <c r="H5" s="4"/>
      <c r="I5" s="4"/>
      <c r="J5" s="4"/>
      <c r="K5" s="4"/>
      <c r="L5" s="4"/>
      <c r="M5" s="4"/>
      <c r="N5" s="4"/>
      <c r="O5" s="4"/>
      <c r="P5" s="4"/>
      <c r="Q5" s="4"/>
      <c r="R5" s="4"/>
      <c r="S5" s="4"/>
      <c r="T5" s="4"/>
      <c r="U5" s="119" t="str">
        <f ca="1">IF(COUNTIF($U$12:OFFSET($U$50,-1,0),"DESCRIÇÃO")+COUNTIF($U$12:OFFSET($U$50,-1,0),"UNIDADE")+COUNTIF($U$12:OFFSET($U$50,-1,0),"SEM VALOR")&gt;0,"NÃO OK","OK")</f>
        <v>NÃO OK</v>
      </c>
      <c r="V5" s="212" t="s">
        <v>107</v>
      </c>
      <c r="W5" s="211" t="s">
        <v>184</v>
      </c>
      <c r="X5" s="214" t="b">
        <v>1</v>
      </c>
      <c r="Y5" s="4"/>
      <c r="Z5" s="4"/>
      <c r="AA5" s="4"/>
    </row>
    <row r="6" spans="1:27" ht="24.75" customHeight="1">
      <c r="A6" s="4"/>
      <c r="B6" s="4"/>
      <c r="D6" s="117"/>
      <c r="F6" s="5"/>
      <c r="G6" s="4"/>
      <c r="H6" s="4"/>
      <c r="I6" s="4"/>
      <c r="J6" s="4"/>
      <c r="K6" s="82"/>
      <c r="L6" s="4"/>
      <c r="M6" s="4"/>
      <c r="N6" s="4"/>
      <c r="O6" s="4"/>
      <c r="P6" s="4"/>
      <c r="Q6" s="4"/>
      <c r="R6" s="4"/>
      <c r="S6" s="4"/>
      <c r="T6" s="4"/>
      <c r="U6" s="4"/>
      <c r="V6" s="4"/>
      <c r="W6" s="211" t="s">
        <v>185</v>
      </c>
      <c r="X6" s="214" t="b">
        <v>1</v>
      </c>
      <c r="Y6" s="4"/>
      <c r="Z6" s="4"/>
      <c r="AA6" s="4"/>
    </row>
    <row r="7" spans="1:27" ht="24.75" customHeight="1">
      <c r="A7" s="4"/>
      <c r="B7" s="4"/>
      <c r="C7" s="20"/>
      <c r="D7" s="117"/>
      <c r="E7" s="5"/>
      <c r="F7" s="5"/>
      <c r="G7" s="4"/>
      <c r="H7" s="4"/>
      <c r="I7" s="4"/>
      <c r="J7" s="4"/>
      <c r="K7" s="82"/>
      <c r="L7" s="4"/>
      <c r="M7" s="4"/>
      <c r="N7" s="4"/>
      <c r="O7" s="4"/>
      <c r="P7" s="4"/>
      <c r="Q7" s="4"/>
      <c r="R7" s="4"/>
      <c r="S7" s="4"/>
      <c r="T7" s="4"/>
      <c r="U7" s="4"/>
      <c r="V7" s="4"/>
      <c r="W7" s="211" t="s">
        <v>186</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124</v>
      </c>
      <c r="C10" s="74" t="s">
        <v>153</v>
      </c>
      <c r="D10" s="74" t="s">
        <v>154</v>
      </c>
      <c r="E10" s="74" t="s">
        <v>155</v>
      </c>
      <c r="F10" s="74" t="s">
        <v>156</v>
      </c>
      <c r="G10" s="74" t="s">
        <v>157</v>
      </c>
      <c r="H10" s="74" t="s">
        <v>125</v>
      </c>
      <c r="I10" s="74" t="s">
        <v>126</v>
      </c>
      <c r="J10" s="74" t="s">
        <v>3</v>
      </c>
      <c r="K10" s="74" t="s">
        <v>148</v>
      </c>
      <c r="L10" s="74" t="s">
        <v>147</v>
      </c>
      <c r="M10" s="74" t="s">
        <v>4</v>
      </c>
      <c r="N10" s="74" t="s">
        <v>143</v>
      </c>
      <c r="O10" s="75" t="s">
        <v>150</v>
      </c>
      <c r="P10" s="74" t="s">
        <v>149</v>
      </c>
      <c r="Q10" s="74" t="str">
        <f>IF(OR(TipoOrçamento="LICITADO",TipoOrçamento="REPROGRAMADOAC"),"Preço Unitário (R$)","Custo Unitário (R$)")</f>
        <v>Preço Unitário (R$)</v>
      </c>
      <c r="R10" s="74" t="s">
        <v>5</v>
      </c>
      <c r="S10" s="74" t="s">
        <v>152</v>
      </c>
      <c r="T10" s="74" t="s">
        <v>6</v>
      </c>
      <c r="U10" s="74" t="s">
        <v>160</v>
      </c>
      <c r="V10" s="116" t="s">
        <v>162</v>
      </c>
      <c r="W10" s="116" t="s">
        <v>123</v>
      </c>
      <c r="X10" s="116" t="s">
        <v>131</v>
      </c>
      <c r="Y10" s="115" t="str">
        <f>IF(TipoOrçamento="LICITADO","Preço Unitário Edital (R$)","Custo Unitário Referência (R$)")</f>
        <v>Preço Unitário Edital (R$)</v>
      </c>
      <c r="Z10" s="147" t="str">
        <f>IF(TipoOrçamento="LICITADO","Valor BDI Edital","Valor BDI")</f>
        <v>Valor BDI Edital</v>
      </c>
      <c r="AA10" s="4"/>
    </row>
    <row r="11" spans="1:27" ht="12.75"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IF(OR($A11="S",$A11=0),0,MATCH(0,OFFSET($B11,1,$A11,ROW($A$50)-ROW($A11)),0))</f>
        <v>0</v>
      </c>
      <c r="I11">
        <f ca="1">IF(OR($A11="S",$A11=0),0,MATCH(OFFSET($B11,0,$A11)+1,OFFSET($B11,1,$A11,ROW($A$50)-ROW($A11)),0))</f>
        <v>0</v>
      </c>
      <c r="J11" s="120" t="s">
        <v>103</v>
      </c>
      <c r="K11" s="162" t="e">
        <f>IF($A11=0,"-",CONCATENATE(C11&amp;".",IF(AND($A$5&gt;=2,$A11&gt;=2),D11&amp;".",""),IF(AND($A$5&gt;=3,$A11&gt;=3),E11&amp;".",""),IF(AND($A$5&gt;=4,$A11&gt;=4),F11&amp;".",""),IF($A11="S",G11&amp;".","")))</f>
        <v>#VALUE!</v>
      </c>
      <c r="L11" s="209"/>
      <c r="M11" s="209"/>
      <c r="N11" s="230">
        <f>IF($A11="S",Referencia.Descricao,"(digite a descrição aqui)")</f>
      </c>
      <c r="O11" s="229">
        <f>Referencia.Unidade</f>
      </c>
      <c r="P11" s="232">
        <f ca="1">OFFSET(PLQ!$E$12,ROW($P11)-ROW(P$12),0)</f>
        <v>0</v>
      </c>
      <c r="Q11" s="228"/>
      <c r="R11" s="231" t="s">
        <v>7</v>
      </c>
      <c r="S11" s="121">
        <f>IF($A11="S",IF($Q$10="Preço Unitário (R$)",PO.CustoUnitario,ROUND(PO.CustoUnitario*(1+$Z11),15-13*$X$6)),0)</f>
        <v>0</v>
      </c>
      <c r="T11" s="98">
        <f>IF($A11="S",VTOTAL1,IF($A11=0,0,ROUND(SomaAgrup,15-13*$X$7)))</f>
        <v>0</v>
      </c>
      <c r="U11" s="13" t="str">
        <f>IF($J11="","",IF($N11="","DESCRIÇÃO",IF(AND($J11="Serviço",$O11=""),"UNIDADE",IF($T11&lt;=0,"SEM VALOR",IF(AND($Y11&lt;&gt;"",$Q11&gt;$Y11),"ACIMA REF.","")))))</f>
        <v>DESCRIÇÃO</v>
      </c>
      <c r="V11" s="4">
        <f ca="1">IF(OR($A11=0,$A11="S",$A11&gt;CFF!$A$9),"",MAX(V$12:OFFSET(V11,-1,0))+1)</f>
      </c>
      <c r="W11" s="9" t="b">
        <f>IF(AND($J11="Serviço",$M11&lt;&gt;""),IF($L11="",$M11,CONCATENATE($L11,"-",$M11)))</f>
        <v>0</v>
      </c>
      <c r="X11" s="4" t="str">
        <f ca="1">IF(AND(Fonte&lt;&gt;"",Código&lt;&gt;""),MATCH(Fonte&amp;" "&amp;IF(Fonte="sinapi",SUBSTITUTE(SUBSTITUTE(Código,"/00","/"),"/0","/"),Código),INDIRECT("'[Referência "&amp;DATABASE&amp;".xls]Banco'!$a:$a"),0),"X")</f>
        <v>X</v>
      </c>
      <c r="Y11" s="121">
        <f>IF(Import.Desoneracao="sim",Referencia.Desonerado,Referencia.NaoDesonerado)</f>
        <v>0</v>
      </c>
      <c r="Z11" s="132">
        <f>ROUND(IF(ISNUMBER(R11),R11,IF(LEFT(R11,3)="BDI",HLOOKUP(R11,DADOS!$T$37:$X$38,2,FALSE),0)),15-11*$X$5)</f>
        <v>0.2231</v>
      </c>
      <c r="AA11" s="4"/>
    </row>
    <row r="12" spans="1:27" ht="12.75">
      <c r="A12">
        <v>0</v>
      </c>
      <c r="B12">
        <f ca="1">COUNTA(OFFSET(B12,1,0):B$50)</f>
        <v>37</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SUMIF(OFFSET($J12,1,0,ROW(T50)-ROW(T12)-1),"Serviço",OFFSET(T12,1,0,ROW(T50)-ROW(T12)-1))</f>
        <v>0</v>
      </c>
      <c r="U12" s="13" t="str">
        <f>IF($N12=0,"DESCRIÇÃO","")</f>
        <v>DESCRIÇÃO</v>
      </c>
      <c r="V12" s="4">
        <v>0</v>
      </c>
      <c r="W12" s="4"/>
      <c r="X12" s="4"/>
      <c r="Y12" s="11"/>
      <c r="Z12" s="133"/>
      <c r="AA12" s="4"/>
    </row>
    <row r="13" spans="1:27" ht="12.75">
      <c r="A13">
        <f aca="true" t="shared" si="0" ref="A13:A32">CHOOSE(1+LOG(1+2*(J13="Meta")+4*(J13="Nível 2")+8*(J13="Nível 3")+16*(J13="Nível 4")+32*(J13="Serviço"),2),0,1,2,3,4,"S")</f>
        <v>1</v>
      </c>
      <c r="B13">
        <f aca="true" t="shared" si="1" ref="B13:B32">IF(OR(A13="S",A13=0),0,IF(ISERROR(I13),H13,SMALL(H13:I13,1)))</f>
        <v>37</v>
      </c>
      <c r="C13">
        <f aca="true" ca="1" t="shared" si="2" ref="C13:C32">IF($A13=1,OFFSET(C13,-1,0)+1,OFFSET(C13,-1,0))</f>
        <v>1</v>
      </c>
      <c r="D13">
        <f aca="true" ca="1" t="shared" si="3" ref="D13:D32">IF($A13=1,0,IF($A13=2,OFFSET(D13,-1,0)+1,OFFSET(D13,-1,0)))</f>
        <v>0</v>
      </c>
      <c r="E13">
        <f aca="true" ca="1" t="shared" si="4" ref="E13:E32">IF(AND($A13&lt;=2,$A13&lt;&gt;0),0,IF($A13=3,OFFSET(E13,-1,0)+1,OFFSET(E13,-1,0)))</f>
        <v>0</v>
      </c>
      <c r="F13">
        <f aca="true" ca="1" t="shared" si="5" ref="F13:F32">IF(AND($A13&lt;=3,$A13&lt;&gt;0),0,IF($A13=4,OFFSET(F13,-1,0)+1,OFFSET(F13,-1,0)))</f>
        <v>0</v>
      </c>
      <c r="G13">
        <f aca="true" ca="1" t="shared" si="6" ref="G13:G32">IF(AND($A13&lt;=4,$A13&lt;&gt;0),0,IF($A13="S",OFFSET(G13,-1,0)+1,OFFSET(G13,-1,0)))</f>
        <v>0</v>
      </c>
      <c r="H13">
        <f aca="true" ca="1" t="shared" si="7" ref="H13:H49">IF(OR($A13="S",$A13=0),0,MATCH(0,OFFSET($B13,1,$A13,ROW($A$50)-ROW($A13)),0))</f>
        <v>37</v>
      </c>
      <c r="I13" t="e">
        <f aca="true" ca="1" t="shared" si="8" ref="I13:I49">IF(OR($A13="S",$A13=0),0,MATCH(OFFSET($B13,0,$A13)+1,OFFSET($B13,1,$A13,ROW($A$50)-ROW($A13)),0))</f>
        <v>#N/A</v>
      </c>
      <c r="J13" s="164" t="s">
        <v>99</v>
      </c>
      <c r="K13" s="162" t="str">
        <f aca="true" t="shared" si="9" ref="K13:K32">IF($A13=0,"-",CONCATENATE(C13&amp;".",IF(AND($A$5&gt;=2,$A13&gt;=2),D13&amp;".",""),IF(AND($A$5&gt;=3,$A13&gt;=3),E13&amp;".",""),IF(AND($A$5&gt;=4,$A13&gt;=4),F13&amp;".",""),IF($A13="S",G13&amp;".","")))</f>
        <v>1.</v>
      </c>
      <c r="L13" s="395"/>
      <c r="M13" s="395"/>
      <c r="N13" s="396" t="s">
        <v>283</v>
      </c>
      <c r="O13" s="397" t="s">
        <v>107</v>
      </c>
      <c r="P13" s="232">
        <f ca="1">OFFSET(PLQ!$E$12,ROW($P13)-ROW(P$12),0)</f>
        <v>0</v>
      </c>
      <c r="Q13" s="228"/>
      <c r="R13" s="231" t="s">
        <v>7</v>
      </c>
      <c r="S13" s="121">
        <f aca="true" t="shared" si="10" ref="S13:S32">IF($A13="S",IF($Q$10="Preço Unitário (R$)",PO.CustoUnitario,ROUND(PO.CustoUnitario*(1+$Z13),15-13*$X$6)),0)</f>
        <v>0</v>
      </c>
      <c r="T13" s="98">
        <f aca="true" t="shared" si="11" ref="T13:T32">IF($A13="S",VTOTAL1,IF($A13=0,0,ROUND(SomaAgrup,15-13*$X$7)))</f>
        <v>0</v>
      </c>
      <c r="U13" s="13" t="str">
        <f aca="true" t="shared" si="12" ref="U13:U32">IF($J13="","",IF($N13="","DESCRIÇÃO",IF(AND($J13="Serviço",$O13=""),"UNIDADE",IF($T13&lt;=0,"SEM VALOR",IF(AND($Y13&lt;&gt;"",$Q13&gt;$Y13),"ACIMA REF.","")))))</f>
        <v>SEM VALOR</v>
      </c>
      <c r="V13" s="4">
        <f ca="1">IF(OR($A13=0,$A13="S",$A13&gt;CFF!$A$9),"",MAX(V$12:OFFSET(V13,-1,0))+1)</f>
        <v>1</v>
      </c>
      <c r="W13" s="9" t="b">
        <f aca="true" t="shared" si="13" ref="W13:W32">IF(AND($J13="Serviço",$M13&lt;&gt;""),IF($L13="",$M13,CONCATENATE($L13,"-",$M13)))</f>
        <v>0</v>
      </c>
      <c r="X13" s="4" t="str">
        <f aca="true" ca="1" t="shared" si="14" ref="X13:X32">IF(AND(Fonte&lt;&gt;"",Código&lt;&gt;""),MATCH(Fonte&amp;" "&amp;IF(Fonte="sinapi",SUBSTITUTE(SUBSTITUTE(Código,"/00","/"),"/0","/"),Código),INDIRECT("'[Referência "&amp;DATABASE&amp;".xls]Banco'!$a:$a"),0),"X")</f>
        <v>X</v>
      </c>
      <c r="Y13" s="121">
        <v>0</v>
      </c>
      <c r="Z13" s="132">
        <f>ROUND(IF(ISNUMBER(R13),R13,IF(LEFT(R13,3)="BDI",HLOOKUP(R13,DADOS!$T$37:$X$38,2,FALSE),0)),15-11*$X$5)</f>
        <v>0.2231</v>
      </c>
      <c r="AA13" s="4"/>
    </row>
    <row r="14" spans="1:27" ht="12.75">
      <c r="A14">
        <f t="shared" si="0"/>
        <v>2</v>
      </c>
      <c r="B14">
        <f t="shared" si="1"/>
        <v>3</v>
      </c>
      <c r="C14">
        <f ca="1" t="shared" si="2"/>
        <v>1</v>
      </c>
      <c r="D14">
        <f ca="1" t="shared" si="3"/>
        <v>1</v>
      </c>
      <c r="E14">
        <f ca="1" t="shared" si="4"/>
        <v>0</v>
      </c>
      <c r="F14">
        <f ca="1" t="shared" si="5"/>
        <v>0</v>
      </c>
      <c r="G14">
        <f ca="1" t="shared" si="6"/>
        <v>0</v>
      </c>
      <c r="H14">
        <f ca="1" t="shared" si="7"/>
        <v>36</v>
      </c>
      <c r="I14">
        <f ca="1" t="shared" si="8"/>
        <v>3</v>
      </c>
      <c r="J14" s="394" t="s">
        <v>100</v>
      </c>
      <c r="K14" s="162" t="str">
        <f t="shared" si="9"/>
        <v>1.1.</v>
      </c>
      <c r="L14" s="395"/>
      <c r="M14" s="395"/>
      <c r="N14" s="396" t="s">
        <v>232</v>
      </c>
      <c r="O14" s="397" t="s">
        <v>107</v>
      </c>
      <c r="P14" s="232">
        <f ca="1">OFFSET(PLQ!$E$12,ROW($P14)-ROW(P$12),0)</f>
        <v>0</v>
      </c>
      <c r="Q14" s="228"/>
      <c r="R14" s="231" t="s">
        <v>7</v>
      </c>
      <c r="S14" s="121">
        <f t="shared" si="10"/>
        <v>0</v>
      </c>
      <c r="T14" s="98">
        <f t="shared" si="11"/>
        <v>0</v>
      </c>
      <c r="U14" s="13" t="str">
        <f t="shared" si="12"/>
        <v>SEM VALOR</v>
      </c>
      <c r="V14" s="4">
        <f ca="1">IF(OR($A14=0,$A14="S",$A14&gt;CFF!$A$9),"",MAX(V$12:OFFSET(V14,-1,0))+1)</f>
        <v>2</v>
      </c>
      <c r="W14" s="9" t="b">
        <f t="shared" si="13"/>
        <v>0</v>
      </c>
      <c r="X14" s="4" t="str">
        <f ca="1" t="shared" si="14"/>
        <v>X</v>
      </c>
      <c r="Y14" s="121">
        <v>0</v>
      </c>
      <c r="Z14" s="132">
        <f>ROUND(IF(ISNUMBER(R14),R14,IF(LEFT(R14,3)="BDI",HLOOKUP(R14,DADOS!$T$37:$X$38,2,FALSE),0)),15-11*$X$5)</f>
        <v>0.2231</v>
      </c>
      <c r="AA14" s="4"/>
    </row>
    <row r="15" spans="1:27" ht="12.75">
      <c r="A15" t="str">
        <f t="shared" si="0"/>
        <v>S</v>
      </c>
      <c r="B15">
        <f t="shared" si="1"/>
        <v>0</v>
      </c>
      <c r="C15">
        <f ca="1" t="shared" si="2"/>
        <v>1</v>
      </c>
      <c r="D15">
        <f ca="1" t="shared" si="3"/>
        <v>1</v>
      </c>
      <c r="E15">
        <f ca="1" t="shared" si="4"/>
        <v>0</v>
      </c>
      <c r="F15">
        <f ca="1" t="shared" si="5"/>
        <v>0</v>
      </c>
      <c r="G15">
        <f ca="1" t="shared" si="6"/>
        <v>1</v>
      </c>
      <c r="H15">
        <f ca="1" t="shared" si="7"/>
        <v>0</v>
      </c>
      <c r="I15">
        <f ca="1" t="shared" si="8"/>
        <v>0</v>
      </c>
      <c r="J15" s="394" t="s">
        <v>103</v>
      </c>
      <c r="K15" s="162" t="str">
        <f t="shared" si="9"/>
        <v>1.1.1.</v>
      </c>
      <c r="L15" s="395" t="s">
        <v>236</v>
      </c>
      <c r="M15" s="395" t="s">
        <v>244</v>
      </c>
      <c r="N15" s="396" t="s">
        <v>297</v>
      </c>
      <c r="O15" s="397" t="s">
        <v>325</v>
      </c>
      <c r="P15" s="232">
        <f ca="1">OFFSET(PLQ!$E$12,ROW($P15)-ROW(P$12),0)</f>
        <v>16</v>
      </c>
      <c r="Q15" s="228"/>
      <c r="R15" s="231" t="s">
        <v>7</v>
      </c>
      <c r="S15" s="121">
        <f t="shared" si="10"/>
        <v>0</v>
      </c>
      <c r="T15" s="98">
        <f t="shared" si="11"/>
        <v>0</v>
      </c>
      <c r="U15" s="13" t="str">
        <f t="shared" si="12"/>
        <v>SEM VALOR</v>
      </c>
      <c r="V15" s="4">
        <f ca="1">IF(OR($A15=0,$A15="S",$A15&gt;CFF!$A$9),"",MAX(V$12:OFFSET(V15,-1,0))+1)</f>
      </c>
      <c r="W15" s="9" t="str">
        <f t="shared" si="13"/>
        <v>SINAPI-I-4813</v>
      </c>
      <c r="X15" s="4">
        <f ca="1" t="shared" si="14"/>
        <v>10086</v>
      </c>
      <c r="Y15" s="121">
        <v>403.62</v>
      </c>
      <c r="Z15" s="132">
        <f>ROUND(IF(ISNUMBER(R15),R15,IF(LEFT(R15,3)="BDI",HLOOKUP(R15,DADOS!$T$37:$X$38,2,FALSE),0)),15-11*$X$5)</f>
        <v>0.2231</v>
      </c>
      <c r="AA15" s="4"/>
    </row>
    <row r="16" spans="1:27" ht="25.5">
      <c r="A16" t="str">
        <f t="shared" si="0"/>
        <v>S</v>
      </c>
      <c r="B16">
        <f t="shared" si="1"/>
        <v>0</v>
      </c>
      <c r="C16">
        <f ca="1" t="shared" si="2"/>
        <v>1</v>
      </c>
      <c r="D16">
        <f ca="1" t="shared" si="3"/>
        <v>1</v>
      </c>
      <c r="E16">
        <f ca="1" t="shared" si="4"/>
        <v>0</v>
      </c>
      <c r="F16">
        <f ca="1" t="shared" si="5"/>
        <v>0</v>
      </c>
      <c r="G16">
        <f ca="1" t="shared" si="6"/>
        <v>2</v>
      </c>
      <c r="H16">
        <f ca="1" t="shared" si="7"/>
        <v>0</v>
      </c>
      <c r="I16">
        <f ca="1" t="shared" si="8"/>
        <v>0</v>
      </c>
      <c r="J16" s="394" t="s">
        <v>103</v>
      </c>
      <c r="K16" s="162" t="str">
        <f t="shared" si="9"/>
        <v>1.1.2.</v>
      </c>
      <c r="L16" s="395" t="s">
        <v>231</v>
      </c>
      <c r="M16" s="395" t="s">
        <v>238</v>
      </c>
      <c r="N16" s="396" t="s">
        <v>298</v>
      </c>
      <c r="O16" s="397" t="s">
        <v>326</v>
      </c>
      <c r="P16" s="232">
        <f ca="1">OFFSET(PLQ!$E$12,ROW($P16)-ROW(P$12),0)</f>
        <v>9</v>
      </c>
      <c r="Q16" s="228"/>
      <c r="R16" s="231" t="s">
        <v>7</v>
      </c>
      <c r="S16" s="121">
        <f t="shared" si="10"/>
        <v>0</v>
      </c>
      <c r="T16" s="98">
        <f t="shared" si="11"/>
        <v>0</v>
      </c>
      <c r="U16" s="13" t="str">
        <f t="shared" si="12"/>
        <v>SEM VALOR</v>
      </c>
      <c r="V16" s="4">
        <f ca="1">IF(OR($A16=0,$A16="S",$A16&gt;CFF!$A$9),"",MAX(V$12:OFFSET(V16,-1,0))+1)</f>
      </c>
      <c r="W16" s="9" t="str">
        <f t="shared" si="13"/>
        <v>SINAPI-93584</v>
      </c>
      <c r="X16" s="4">
        <f ca="1" t="shared" si="14"/>
        <v>303</v>
      </c>
      <c r="Y16" s="121">
        <v>693.69</v>
      </c>
      <c r="Z16" s="132">
        <f>ROUND(IF(ISNUMBER(R16),R16,IF(LEFT(R16,3)="BDI",HLOOKUP(R16,DADOS!$T$37:$X$38,2,FALSE),0)),15-11*$X$5)</f>
        <v>0.2231</v>
      </c>
      <c r="AA16" s="4"/>
    </row>
    <row r="17" spans="1:27" ht="12.75">
      <c r="A17">
        <f t="shared" si="0"/>
        <v>2</v>
      </c>
      <c r="B17">
        <f t="shared" si="1"/>
        <v>3</v>
      </c>
      <c r="C17">
        <f ca="1" t="shared" si="2"/>
        <v>1</v>
      </c>
      <c r="D17">
        <f ca="1" t="shared" si="3"/>
        <v>2</v>
      </c>
      <c r="E17">
        <f ca="1" t="shared" si="4"/>
        <v>0</v>
      </c>
      <c r="F17">
        <f ca="1" t="shared" si="5"/>
        <v>0</v>
      </c>
      <c r="G17">
        <f ca="1" t="shared" si="6"/>
        <v>0</v>
      </c>
      <c r="H17">
        <f ca="1" t="shared" si="7"/>
        <v>33</v>
      </c>
      <c r="I17">
        <f ca="1" t="shared" si="8"/>
        <v>3</v>
      </c>
      <c r="J17" s="394" t="s">
        <v>100</v>
      </c>
      <c r="K17" s="162" t="str">
        <f t="shared" si="9"/>
        <v>1.2.</v>
      </c>
      <c r="L17" s="395"/>
      <c r="M17" s="395"/>
      <c r="N17" s="396" t="s">
        <v>254</v>
      </c>
      <c r="O17" s="397" t="s">
        <v>107</v>
      </c>
      <c r="P17" s="232">
        <f ca="1">OFFSET(PLQ!$E$12,ROW($P17)-ROW(P$12),0)</f>
        <v>0</v>
      </c>
      <c r="Q17" s="228"/>
      <c r="R17" s="231" t="s">
        <v>7</v>
      </c>
      <c r="S17" s="121">
        <f t="shared" si="10"/>
        <v>0</v>
      </c>
      <c r="T17" s="98">
        <f t="shared" si="11"/>
        <v>0</v>
      </c>
      <c r="U17" s="13" t="str">
        <f t="shared" si="12"/>
        <v>SEM VALOR</v>
      </c>
      <c r="V17" s="4">
        <f ca="1">IF(OR($A17=0,$A17="S",$A17&gt;CFF!$A$9),"",MAX(V$12:OFFSET(V17,-1,0))+1)</f>
        <v>3</v>
      </c>
      <c r="W17" s="9" t="b">
        <f t="shared" si="13"/>
        <v>0</v>
      </c>
      <c r="X17" s="4" t="str">
        <f ca="1" t="shared" si="14"/>
        <v>X</v>
      </c>
      <c r="Y17" s="121">
        <v>0</v>
      </c>
      <c r="Z17" s="132">
        <f>ROUND(IF(ISNUMBER(R17),R17,IF(LEFT(R17,3)="BDI",HLOOKUP(R17,DADOS!$T$37:$X$38,2,FALSE),0)),15-11*$X$5)</f>
        <v>0.2231</v>
      </c>
      <c r="AA17" s="4"/>
    </row>
    <row r="18" spans="1:27" ht="25.5">
      <c r="A18" t="str">
        <f>CHOOSE(1+LOG(1+2*(J18="Meta")+4*(J18="Nível 2")+8*(J18="Nível 3")+16*(J18="Nível 4")+32*(J18="Serviço"),2),0,1,2,3,4,"S")</f>
        <v>S</v>
      </c>
      <c r="B18">
        <f>IF(OR(A18="S",A18=0),0,IF(ISERROR(I18),H18,SMALL(H18:I18,1)))</f>
        <v>0</v>
      </c>
      <c r="C18">
        <f ca="1">IF($A18=1,OFFSET(C18,-1,0)+1,OFFSET(C18,-1,0))</f>
        <v>1</v>
      </c>
      <c r="D18">
        <f ca="1">IF($A18=1,0,IF($A18=2,OFFSET(D18,-1,0)+1,OFFSET(D18,-1,0)))</f>
        <v>2</v>
      </c>
      <c r="E18">
        <f ca="1">IF(AND($A18&lt;=2,$A18&lt;&gt;0),0,IF($A18=3,OFFSET(E18,-1,0)+1,OFFSET(E18,-1,0)))</f>
        <v>0</v>
      </c>
      <c r="F18">
        <f ca="1">IF(AND($A18&lt;=3,$A18&lt;&gt;0),0,IF($A18=4,OFFSET(F18,-1,0)+1,OFFSET(F18,-1,0)))</f>
        <v>0</v>
      </c>
      <c r="G18">
        <f ca="1">IF(AND($A18&lt;=4,$A18&lt;&gt;0),0,IF($A18="S",OFFSET(G18,-1,0)+1,OFFSET(G18,-1,0)))</f>
        <v>1</v>
      </c>
      <c r="H18">
        <f ca="1" t="shared" si="7"/>
        <v>0</v>
      </c>
      <c r="I18">
        <f ca="1" t="shared" si="8"/>
        <v>0</v>
      </c>
      <c r="J18" s="394" t="s">
        <v>103</v>
      </c>
      <c r="K18" s="162" t="str">
        <f>IF($A18=0,"-",CONCATENATE(C18&amp;".",IF(AND($A$5&gt;=2,$A18&gt;=2),D18&amp;".",""),IF(AND($A$5&gt;=3,$A18&gt;=3),E18&amp;".",""),IF(AND($A$5&gt;=4,$A18&gt;=4),F18&amp;".",""),IF($A18="S",G18&amp;".","")))</f>
        <v>1.2.1.</v>
      </c>
      <c r="L18" s="395" t="s">
        <v>231</v>
      </c>
      <c r="M18" s="395" t="s">
        <v>249</v>
      </c>
      <c r="N18" s="396" t="s">
        <v>299</v>
      </c>
      <c r="O18" s="397" t="s">
        <v>327</v>
      </c>
      <c r="P18" s="232">
        <f ca="1">OFFSET(PLQ!$E$12,ROW($P18)-ROW(P$12),0)</f>
        <v>3940</v>
      </c>
      <c r="Q18" s="228"/>
      <c r="R18" s="231" t="s">
        <v>7</v>
      </c>
      <c r="S18" s="121">
        <f>IF($A18="S",IF($Q$10="Preço Unitário (R$)",PO.CustoUnitario,ROUND(PO.CustoUnitario*(1+$Z18),15-13*$X$6)),0)</f>
        <v>0</v>
      </c>
      <c r="T18" s="98">
        <f>IF($A18="S",VTOTAL1,IF($A18=0,0,ROUND(SomaAgrup,15-13*$X$7)))</f>
        <v>0</v>
      </c>
      <c r="U18" s="13" t="str">
        <f>IF($J18="","",IF($N18="","DESCRIÇÃO",IF(AND($J18="Serviço",$O18=""),"UNIDADE",IF($T18&lt;=0,"SEM VALOR",IF(AND($Y18&lt;&gt;"",$Q18&gt;$Y18),"ACIMA REF.","")))))</f>
        <v>SEM VALOR</v>
      </c>
      <c r="V18" s="4">
        <f ca="1">IF(OR($A18=0,$A18="S",$A18&gt;CFF!$A$9),"",MAX(V$12:OFFSET(V18,-1,0))+1)</f>
      </c>
      <c r="W18" s="9" t="str">
        <f>IF(AND($J18="Serviço",$M18&lt;&gt;""),IF($L18="",$M18,CONCATENATE($L18,"-",$M18)))</f>
        <v>SINAPI-94263</v>
      </c>
      <c r="X18" s="4">
        <f ca="1">IF(AND(Fonte&lt;&gt;"",Código&lt;&gt;""),MATCH(Fonte&amp;" "&amp;IF(Fonte="sinapi",SUBSTITUTE(SUBSTITUTE(Código,"/00","/"),"/0","/"),Código),INDIRECT("'[Referência "&amp;DATABASE&amp;".xls]Banco'!$a:$a"),0),"X")</f>
        <v>1651</v>
      </c>
      <c r="Y18" s="121">
        <v>27.23</v>
      </c>
      <c r="Z18" s="132">
        <f>ROUND(IF(ISNUMBER(R18),R18,IF(LEFT(R18,3)="BDI",HLOOKUP(R18,DADOS!$T$37:$X$38,2,FALSE),0)),15-11*$X$5)</f>
        <v>0.2231</v>
      </c>
      <c r="AA18" s="4"/>
    </row>
    <row r="19" spans="1:27" ht="38.25">
      <c r="A19" t="str">
        <f>CHOOSE(1+LOG(1+2*(J19="Meta")+4*(J19="Nível 2")+8*(J19="Nível 3")+16*(J19="Nível 4")+32*(J19="Serviço"),2),0,1,2,3,4,"S")</f>
        <v>S</v>
      </c>
      <c r="B19">
        <f>IF(OR(A19="S",A19=0),0,IF(ISERROR(I19),H19,SMALL(H19:I19,1)))</f>
        <v>0</v>
      </c>
      <c r="C19">
        <f ca="1">IF($A19=1,OFFSET(C19,-1,0)+1,OFFSET(C19,-1,0))</f>
        <v>1</v>
      </c>
      <c r="D19">
        <f ca="1">IF($A19=1,0,IF($A19=2,OFFSET(D19,-1,0)+1,OFFSET(D19,-1,0)))</f>
        <v>2</v>
      </c>
      <c r="E19">
        <f ca="1">IF(AND($A19&lt;=2,$A19&lt;&gt;0),0,IF($A19=3,OFFSET(E19,-1,0)+1,OFFSET(E19,-1,0)))</f>
        <v>0</v>
      </c>
      <c r="F19">
        <f ca="1">IF(AND($A19&lt;=3,$A19&lt;&gt;0),0,IF($A19=4,OFFSET(F19,-1,0)+1,OFFSET(F19,-1,0)))</f>
        <v>0</v>
      </c>
      <c r="G19">
        <f ca="1">IF(AND($A19&lt;=4,$A19&lt;&gt;0),0,IF($A19="S",OFFSET(G19,-1,0)+1,OFFSET(G19,-1,0)))</f>
        <v>2</v>
      </c>
      <c r="H19">
        <f ca="1" t="shared" si="7"/>
        <v>0</v>
      </c>
      <c r="I19">
        <f ca="1" t="shared" si="8"/>
        <v>0</v>
      </c>
      <c r="J19" s="394" t="s">
        <v>103</v>
      </c>
      <c r="K19" s="162" t="str">
        <f>IF($A19=0,"-",CONCATENATE(C19&amp;".",IF(AND($A$5&gt;=2,$A19&gt;=2),D19&amp;".",""),IF(AND($A$5&gt;=3,$A19&gt;=3),E19&amp;".",""),IF(AND($A$5&gt;=4,$A19&gt;=4),F19&amp;".",""),IF($A19="S",G19&amp;".","")))</f>
        <v>1.2.2.</v>
      </c>
      <c r="L19" s="395" t="s">
        <v>231</v>
      </c>
      <c r="M19" s="395" t="s">
        <v>284</v>
      </c>
      <c r="N19" s="396" t="s">
        <v>300</v>
      </c>
      <c r="O19" s="397" t="s">
        <v>326</v>
      </c>
      <c r="P19" s="232">
        <f ca="1">OFFSET(PLQ!$E$12,ROW($P19)-ROW(P$12),0)</f>
        <v>30</v>
      </c>
      <c r="Q19" s="228"/>
      <c r="R19" s="231" t="s">
        <v>7</v>
      </c>
      <c r="S19" s="121">
        <f>IF($A19="S",IF($Q$10="Preço Unitário (R$)",PO.CustoUnitario,ROUND(PO.CustoUnitario*(1+$Z19),15-13*$X$6)),0)</f>
        <v>0</v>
      </c>
      <c r="T19" s="98">
        <f>IF($A19="S",VTOTAL1,IF($A19=0,0,ROUND(SomaAgrup,15-13*$X$7)))</f>
        <v>0</v>
      </c>
      <c r="U19" s="13" t="str">
        <f>IF($J19="","",IF($N19="","DESCRIÇÃO",IF(AND($J19="Serviço",$O19=""),"UNIDADE",IF($T19&lt;=0,"SEM VALOR",IF(AND($Y19&lt;&gt;"",$Q19&gt;$Y19),"ACIMA REF.","")))))</f>
        <v>SEM VALOR</v>
      </c>
      <c r="V19" s="4">
        <f ca="1">IF(OR($A19=0,$A19="S",$A19&gt;CFF!$A$9),"",MAX(V$12:OFFSET(V19,-1,0))+1)</f>
      </c>
      <c r="W19" s="9" t="str">
        <f>IF(AND($J19="Serviço",$M19&lt;&gt;""),IF($L19="",$M19,CONCATENATE($L19,"-",$M19)))</f>
        <v>SINAPI-87453</v>
      </c>
      <c r="X19" s="4">
        <f ca="1">IF(AND(Fonte&lt;&gt;"",Código&lt;&gt;""),MATCH(Fonte&amp;" "&amp;IF(Fonte="sinapi",SUBSTITUTE(SUBSTITUTE(Código,"/00","/"),"/0","/"),Código),INDIRECT("'[Referência "&amp;DATABASE&amp;".xls]Banco'!$a:$a"),0),"X")</f>
        <v>5051</v>
      </c>
      <c r="Y19" s="121">
        <v>56.84</v>
      </c>
      <c r="Z19" s="132">
        <f>ROUND(IF(ISNUMBER(R19),R19,IF(LEFT(R19,3)="BDI",HLOOKUP(R19,DADOS!$T$37:$X$38,2,FALSE),0)),15-11*$X$5)</f>
        <v>0.2231</v>
      </c>
      <c r="AA19" s="4"/>
    </row>
    <row r="20" spans="1:27" ht="12.75">
      <c r="A20">
        <f t="shared" si="0"/>
        <v>2</v>
      </c>
      <c r="B20">
        <f t="shared" si="1"/>
        <v>6</v>
      </c>
      <c r="C20">
        <f ca="1" t="shared" si="2"/>
        <v>1</v>
      </c>
      <c r="D20">
        <f ca="1" t="shared" si="3"/>
        <v>3</v>
      </c>
      <c r="E20">
        <f ca="1" t="shared" si="4"/>
        <v>0</v>
      </c>
      <c r="F20">
        <f ca="1" t="shared" si="5"/>
        <v>0</v>
      </c>
      <c r="G20">
        <f ca="1" t="shared" si="6"/>
        <v>0</v>
      </c>
      <c r="H20">
        <f ca="1" t="shared" si="7"/>
        <v>30</v>
      </c>
      <c r="I20">
        <f ca="1" t="shared" si="8"/>
        <v>6</v>
      </c>
      <c r="J20" s="394" t="s">
        <v>100</v>
      </c>
      <c r="K20" s="162" t="str">
        <f t="shared" si="9"/>
        <v>1.3.</v>
      </c>
      <c r="L20" s="395" t="s">
        <v>231</v>
      </c>
      <c r="M20" s="395" t="s">
        <v>239</v>
      </c>
      <c r="N20" s="396" t="s">
        <v>282</v>
      </c>
      <c r="O20" s="397" t="s">
        <v>328</v>
      </c>
      <c r="P20" s="232">
        <f ca="1">OFFSET(PLQ!$E$12,ROW($P20)-ROW(P$12),0)</f>
        <v>0</v>
      </c>
      <c r="Q20" s="228"/>
      <c r="R20" s="231" t="s">
        <v>7</v>
      </c>
      <c r="S20" s="121">
        <f t="shared" si="10"/>
        <v>0</v>
      </c>
      <c r="T20" s="98">
        <f t="shared" si="11"/>
        <v>0</v>
      </c>
      <c r="U20" s="13" t="str">
        <f t="shared" si="12"/>
        <v>SEM VALOR</v>
      </c>
      <c r="V20" s="4">
        <f ca="1">IF(OR($A20=0,$A20="S",$A20&gt;CFF!$A$9),"",MAX(V$12:OFFSET(V20,-1,0))+1)</f>
        <v>4</v>
      </c>
      <c r="W20" s="9" t="b">
        <f t="shared" si="13"/>
        <v>0</v>
      </c>
      <c r="X20" s="4">
        <f ca="1" t="shared" si="14"/>
        <v>4917</v>
      </c>
      <c r="Y20" s="121">
        <v>0</v>
      </c>
      <c r="Z20" s="132">
        <f>ROUND(IF(ISNUMBER(R20),R20,IF(LEFT(R20,3)="BDI",HLOOKUP(R20,DADOS!$T$37:$X$38,2,FALSE),0)),15-11*$X$5)</f>
        <v>0.2231</v>
      </c>
      <c r="AA20" s="4"/>
    </row>
    <row r="21" spans="1:27" ht="25.5">
      <c r="A21" t="str">
        <f>CHOOSE(1+LOG(1+2*(J21="Meta")+4*(J21="Nível 2")+8*(J21="Nível 3")+16*(J21="Nível 4")+32*(J21="Serviço"),2),0,1,2,3,4,"S")</f>
        <v>S</v>
      </c>
      <c r="B21">
        <f>IF(OR(A21="S",A21=0),0,IF(ISERROR(I21),H21,SMALL(H21:I21,1)))</f>
        <v>0</v>
      </c>
      <c r="C21">
        <f ca="1">IF($A21=1,OFFSET(C21,-1,0)+1,OFFSET(C21,-1,0))</f>
        <v>1</v>
      </c>
      <c r="D21">
        <f ca="1">IF($A21=1,0,IF($A21=2,OFFSET(D21,-1,0)+1,OFFSET(D21,-1,0)))</f>
        <v>3</v>
      </c>
      <c r="E21">
        <f ca="1">IF(AND($A21&lt;=2,$A21&lt;&gt;0),0,IF($A21=3,OFFSET(E21,-1,0)+1,OFFSET(E21,-1,0)))</f>
        <v>0</v>
      </c>
      <c r="F21">
        <f ca="1">IF(AND($A21&lt;=3,$A21&lt;&gt;0),0,IF($A21=4,OFFSET(F21,-1,0)+1,OFFSET(F21,-1,0)))</f>
        <v>0</v>
      </c>
      <c r="G21">
        <f ca="1">IF(AND($A21&lt;=4,$A21&lt;&gt;0),0,IF($A21="S",OFFSET(G21,-1,0)+1,OFFSET(G21,-1,0)))</f>
        <v>1</v>
      </c>
      <c r="H21">
        <f ca="1" t="shared" si="7"/>
        <v>0</v>
      </c>
      <c r="I21">
        <f ca="1" t="shared" si="8"/>
        <v>0</v>
      </c>
      <c r="J21" s="394" t="s">
        <v>103</v>
      </c>
      <c r="K21" s="162" t="str">
        <f>IF($A21=0,"-",CONCATENATE(C21&amp;".",IF(AND($A$5&gt;=2,$A21&gt;=2),D21&amp;".",""),IF(AND($A$5&gt;=3,$A21&gt;=3),E21&amp;".",""),IF(AND($A$5&gt;=4,$A21&gt;=4),F21&amp;".",""),IF($A21="S",G21&amp;".","")))</f>
        <v>1.3.1.</v>
      </c>
      <c r="L21" s="395" t="s">
        <v>242</v>
      </c>
      <c r="M21" s="395" t="s">
        <v>247</v>
      </c>
      <c r="N21" s="396" t="s">
        <v>301</v>
      </c>
      <c r="O21" s="397" t="s">
        <v>329</v>
      </c>
      <c r="P21" s="232">
        <f ca="1">OFFSET(PLQ!$E$12,ROW($P21)-ROW(P$12),0)</f>
        <v>24</v>
      </c>
      <c r="Q21" s="228"/>
      <c r="R21" s="231" t="s">
        <v>7</v>
      </c>
      <c r="S21" s="121">
        <f>IF($A21="S",IF($Q$10="Preço Unitário (R$)",PO.CustoUnitario,ROUND(PO.CustoUnitario*(1+$Z21),15-13*$X$6)),0)</f>
        <v>0</v>
      </c>
      <c r="T21" s="98">
        <f>IF($A21="S",VTOTAL1,IF($A21=0,0,ROUND(SomaAgrup,15-13*$X$7)))</f>
        <v>0</v>
      </c>
      <c r="U21" s="13" t="str">
        <f>IF($J21="","",IF($N21="","DESCRIÇÃO",IF(AND($J21="Serviço",$O21=""),"UNIDADE",IF($T21&lt;=0,"SEM VALOR",IF(AND($Y21&lt;&gt;"",$Q21&gt;$Y21),"ACIMA REF.","")))))</f>
        <v>SEM VALOR</v>
      </c>
      <c r="V21" s="4">
        <f ca="1">IF(OR($A21=0,$A21="S",$A21&gt;CFF!$A$9),"",MAX(V$12:OFFSET(V21,-1,0))+1)</f>
      </c>
      <c r="W21" s="9" t="str">
        <f>IF(AND($J21="Serviço",$M21&lt;&gt;""),IF($L21="",$M21,CONCATENATE($L21,"-",$M21)))</f>
        <v>PMN-CP-012</v>
      </c>
      <c r="X21" s="4">
        <f ca="1">IF(AND(Fonte&lt;&gt;"",Código&lt;&gt;""),MATCH(Fonte&amp;" "&amp;IF(Fonte="sinapi",SUBSTITUTE(SUBSTITUTE(Código,"/00","/"),"/0","/"),Código),INDIRECT("'[Referência "&amp;DATABASE&amp;".xls]Banco'!$a:$a"),0),"X")</f>
        <v>18</v>
      </c>
      <c r="Y21" s="121">
        <v>3379.94</v>
      </c>
      <c r="Z21" s="132">
        <f>ROUND(IF(ISNUMBER(R21),R21,IF(LEFT(R21,3)="BDI",HLOOKUP(R21,DADOS!$T$37:$X$38,2,FALSE),0)),15-11*$X$5)</f>
        <v>0.2231</v>
      </c>
      <c r="AA21" s="4"/>
    </row>
    <row r="22" spans="1:27" ht="25.5">
      <c r="A22" t="str">
        <f t="shared" si="0"/>
        <v>S</v>
      </c>
      <c r="B22">
        <f t="shared" si="1"/>
        <v>0</v>
      </c>
      <c r="C22">
        <f ca="1" t="shared" si="2"/>
        <v>1</v>
      </c>
      <c r="D22">
        <f ca="1" t="shared" si="3"/>
        <v>3</v>
      </c>
      <c r="E22">
        <f ca="1" t="shared" si="4"/>
        <v>0</v>
      </c>
      <c r="F22">
        <f ca="1" t="shared" si="5"/>
        <v>0</v>
      </c>
      <c r="G22">
        <f ca="1" t="shared" si="6"/>
        <v>2</v>
      </c>
      <c r="H22">
        <f ca="1" t="shared" si="7"/>
        <v>0</v>
      </c>
      <c r="I22">
        <f ca="1" t="shared" si="8"/>
        <v>0</v>
      </c>
      <c r="J22" s="394" t="s">
        <v>103</v>
      </c>
      <c r="K22" s="162" t="str">
        <f t="shared" si="9"/>
        <v>1.3.2.</v>
      </c>
      <c r="L22" s="395" t="s">
        <v>242</v>
      </c>
      <c r="M22" s="395" t="s">
        <v>248</v>
      </c>
      <c r="N22" s="396" t="s">
        <v>302</v>
      </c>
      <c r="O22" s="397" t="s">
        <v>329</v>
      </c>
      <c r="P22" s="232">
        <f ca="1">OFFSET(PLQ!$E$12,ROW($P22)-ROW(P$12),0)</f>
        <v>73</v>
      </c>
      <c r="Q22" s="228"/>
      <c r="R22" s="231" t="s">
        <v>7</v>
      </c>
      <c r="S22" s="121">
        <f t="shared" si="10"/>
        <v>0</v>
      </c>
      <c r="T22" s="98">
        <f t="shared" si="11"/>
        <v>0</v>
      </c>
      <c r="U22" s="13" t="str">
        <f t="shared" si="12"/>
        <v>SEM VALOR</v>
      </c>
      <c r="V22" s="4">
        <f ca="1">IF(OR($A22=0,$A22="S",$A22&gt;CFF!$A$9),"",MAX(V$12:OFFSET(V22,-1,0))+1)</f>
      </c>
      <c r="W22" s="9" t="str">
        <f t="shared" si="13"/>
        <v>PMN-CP-013</v>
      </c>
      <c r="X22" s="4">
        <f ca="1" t="shared" si="14"/>
        <v>19</v>
      </c>
      <c r="Y22" s="121">
        <v>982.01</v>
      </c>
      <c r="Z22" s="132">
        <f>ROUND(IF(ISNUMBER(R22),R22,IF(LEFT(R22,3)="BDI",HLOOKUP(R22,DADOS!$T$37:$X$38,2,FALSE),0)),15-11*$X$5)</f>
        <v>0.2231</v>
      </c>
      <c r="AA22" s="4"/>
    </row>
    <row r="23" spans="1:27" ht="25.5">
      <c r="A23" t="str">
        <f t="shared" si="0"/>
        <v>S</v>
      </c>
      <c r="B23">
        <f t="shared" si="1"/>
        <v>0</v>
      </c>
      <c r="C23">
        <f ca="1" t="shared" si="2"/>
        <v>1</v>
      </c>
      <c r="D23">
        <f ca="1" t="shared" si="3"/>
        <v>3</v>
      </c>
      <c r="E23">
        <f ca="1" t="shared" si="4"/>
        <v>0</v>
      </c>
      <c r="F23">
        <f ca="1" t="shared" si="5"/>
        <v>0</v>
      </c>
      <c r="G23">
        <f ca="1" t="shared" si="6"/>
        <v>3</v>
      </c>
      <c r="H23">
        <f ca="1" t="shared" si="7"/>
        <v>0</v>
      </c>
      <c r="I23">
        <f ca="1" t="shared" si="8"/>
        <v>0</v>
      </c>
      <c r="J23" s="394" t="s">
        <v>103</v>
      </c>
      <c r="K23" s="162" t="str">
        <f t="shared" si="9"/>
        <v>1.3.3.</v>
      </c>
      <c r="L23" s="395" t="s">
        <v>242</v>
      </c>
      <c r="M23" s="395" t="s">
        <v>256</v>
      </c>
      <c r="N23" s="396" t="s">
        <v>303</v>
      </c>
      <c r="O23" s="397" t="s">
        <v>329</v>
      </c>
      <c r="P23" s="232">
        <f ca="1">OFFSET(PLQ!$E$12,ROW($P23)-ROW(P$12),0)</f>
        <v>4</v>
      </c>
      <c r="Q23" s="228"/>
      <c r="R23" s="231" t="s">
        <v>7</v>
      </c>
      <c r="S23" s="121">
        <f t="shared" si="10"/>
        <v>0</v>
      </c>
      <c r="T23" s="98">
        <f t="shared" si="11"/>
        <v>0</v>
      </c>
      <c r="U23" s="13" t="str">
        <f t="shared" si="12"/>
        <v>SEM VALOR</v>
      </c>
      <c r="V23" s="4">
        <f ca="1">IF(OR($A23=0,$A23="S",$A23&gt;CFF!$A$9),"",MAX(V$12:OFFSET(V23,-1,0))+1)</f>
      </c>
      <c r="W23" s="9" t="str">
        <f t="shared" si="13"/>
        <v>PMN-CP-020</v>
      </c>
      <c r="X23" s="4">
        <f ca="1" t="shared" si="14"/>
        <v>26</v>
      </c>
      <c r="Y23" s="121">
        <v>2365.12</v>
      </c>
      <c r="Z23" s="132">
        <f>ROUND(IF(ISNUMBER(R23),R23,IF(LEFT(R23,3)="BDI",HLOOKUP(R23,DADOS!$T$37:$X$38,2,FALSE),0)),15-11*$X$5)</f>
        <v>0.2231</v>
      </c>
      <c r="AA23" s="4"/>
    </row>
    <row r="24" spans="1:27" ht="25.5">
      <c r="A24" t="str">
        <f t="shared" si="0"/>
        <v>S</v>
      </c>
      <c r="B24">
        <f t="shared" si="1"/>
        <v>0</v>
      </c>
      <c r="C24">
        <f ca="1" t="shared" si="2"/>
        <v>1</v>
      </c>
      <c r="D24">
        <f ca="1" t="shared" si="3"/>
        <v>3</v>
      </c>
      <c r="E24">
        <f ca="1" t="shared" si="4"/>
        <v>0</v>
      </c>
      <c r="F24">
        <f ca="1" t="shared" si="5"/>
        <v>0</v>
      </c>
      <c r="G24">
        <f ca="1" t="shared" si="6"/>
        <v>4</v>
      </c>
      <c r="H24">
        <f ca="1" t="shared" si="7"/>
        <v>0</v>
      </c>
      <c r="I24">
        <f ca="1" t="shared" si="8"/>
        <v>0</v>
      </c>
      <c r="J24" s="394" t="s">
        <v>103</v>
      </c>
      <c r="K24" s="162" t="str">
        <f t="shared" si="9"/>
        <v>1.3.4.</v>
      </c>
      <c r="L24" s="395" t="s">
        <v>242</v>
      </c>
      <c r="M24" s="395" t="s">
        <v>257</v>
      </c>
      <c r="N24" s="396" t="s">
        <v>304</v>
      </c>
      <c r="O24" s="397" t="s">
        <v>329</v>
      </c>
      <c r="P24" s="232">
        <f ca="1">OFFSET(PLQ!$E$12,ROW($P24)-ROW(P$12),0)</f>
        <v>32</v>
      </c>
      <c r="Q24" s="228"/>
      <c r="R24" s="231" t="s">
        <v>7</v>
      </c>
      <c r="S24" s="121">
        <f t="shared" si="10"/>
        <v>0</v>
      </c>
      <c r="T24" s="98">
        <f t="shared" si="11"/>
        <v>0</v>
      </c>
      <c r="U24" s="13" t="str">
        <f t="shared" si="12"/>
        <v>SEM VALOR</v>
      </c>
      <c r="V24" s="4">
        <f ca="1">IF(OR($A24=0,$A24="S",$A24&gt;CFF!$A$9),"",MAX(V$12:OFFSET(V24,-1,0))+1)</f>
      </c>
      <c r="W24" s="9" t="str">
        <f t="shared" si="13"/>
        <v>PMN-CP-021</v>
      </c>
      <c r="X24" s="4">
        <f ca="1" t="shared" si="14"/>
        <v>27</v>
      </c>
      <c r="Y24" s="121">
        <v>922.89</v>
      </c>
      <c r="Z24" s="132">
        <f>ROUND(IF(ISNUMBER(R24),R24,IF(LEFT(R24,3)="BDI",HLOOKUP(R24,DADOS!$T$37:$X$38,2,FALSE),0)),15-11*$X$5)</f>
        <v>0.2231</v>
      </c>
      <c r="AA24" s="4"/>
    </row>
    <row r="25" spans="1:27" ht="12.75">
      <c r="A25" t="str">
        <f>CHOOSE(1+LOG(1+2*(J25="Meta")+4*(J25="Nível 2")+8*(J25="Nível 3")+16*(J25="Nível 4")+32*(J25="Serviço"),2),0,1,2,3,4,"S")</f>
        <v>S</v>
      </c>
      <c r="B25">
        <f>IF(OR(A25="S",A25=0),0,IF(ISERROR(I25),H25,SMALL(H25:I25,1)))</f>
        <v>0</v>
      </c>
      <c r="C25">
        <f ca="1">IF($A25=1,OFFSET(C25,-1,0)+1,OFFSET(C25,-1,0))</f>
        <v>1</v>
      </c>
      <c r="D25">
        <f ca="1">IF($A25=1,0,IF($A25=2,OFFSET(D25,-1,0)+1,OFFSET(D25,-1,0)))</f>
        <v>3</v>
      </c>
      <c r="E25">
        <f ca="1">IF(AND($A25&lt;=2,$A25&lt;&gt;0),0,IF($A25=3,OFFSET(E25,-1,0)+1,OFFSET(E25,-1,0)))</f>
        <v>0</v>
      </c>
      <c r="F25">
        <f ca="1">IF(AND($A25&lt;=3,$A25&lt;&gt;0),0,IF($A25=4,OFFSET(F25,-1,0)+1,OFFSET(F25,-1,0)))</f>
        <v>0</v>
      </c>
      <c r="G25">
        <f ca="1">IF(AND($A25&lt;=4,$A25&lt;&gt;0),0,IF($A25="S",OFFSET(G25,-1,0)+1,OFFSET(G25,-1,0)))</f>
        <v>5</v>
      </c>
      <c r="H25">
        <f ca="1" t="shared" si="7"/>
        <v>0</v>
      </c>
      <c r="I25">
        <f ca="1" t="shared" si="8"/>
        <v>0</v>
      </c>
      <c r="J25" s="394" t="s">
        <v>103</v>
      </c>
      <c r="K25" s="162" t="str">
        <f>IF($A25=0,"-",CONCATENATE(C25&amp;".",IF(AND($A$5&gt;=2,$A25&gt;=2),D25&amp;".",""),IF(AND($A$5&gt;=3,$A25&gt;=3),E25&amp;".",""),IF(AND($A$5&gt;=4,$A25&gt;=4),F25&amp;".",""),IF($A25="S",G25&amp;".","")))</f>
        <v>1.3.5.</v>
      </c>
      <c r="L25" s="395" t="s">
        <v>242</v>
      </c>
      <c r="M25" s="395" t="s">
        <v>280</v>
      </c>
      <c r="N25" s="396" t="s">
        <v>305</v>
      </c>
      <c r="O25" s="397" t="s">
        <v>327</v>
      </c>
      <c r="P25" s="232">
        <f ca="1">OFFSET(PLQ!$E$12,ROW($P25)-ROW(P$12),0)</f>
        <v>190</v>
      </c>
      <c r="Q25" s="228"/>
      <c r="R25" s="231" t="s">
        <v>7</v>
      </c>
      <c r="S25" s="121">
        <f>IF($A25="S",IF($Q$10="Preço Unitário (R$)",PO.CustoUnitario,ROUND(PO.CustoUnitario*(1+$Z25),15-13*$X$6)),0)</f>
        <v>0</v>
      </c>
      <c r="T25" s="98">
        <f>IF($A25="S",VTOTAL1,IF($A25=0,0,ROUND(SomaAgrup,15-13*$X$7)))</f>
        <v>0</v>
      </c>
      <c r="U25" s="13" t="str">
        <f>IF($J25="","",IF($N25="","DESCRIÇÃO",IF(AND($J25="Serviço",$O25=""),"UNIDADE",IF($T25&lt;=0,"SEM VALOR",IF(AND($Y25&lt;&gt;"",$Q25&gt;$Y25),"ACIMA REF.","")))))</f>
        <v>SEM VALOR</v>
      </c>
      <c r="V25" s="4">
        <f ca="1">IF(OR($A25=0,$A25="S",$A25&gt;CFF!$A$9),"",MAX(V$12:OFFSET(V25,-1,0))+1)</f>
      </c>
      <c r="W25" s="9" t="str">
        <f>IF(AND($J25="Serviço",$M25&lt;&gt;""),IF($L25="",$M25,CONCATENATE($L25,"-",$M25)))</f>
        <v>PMN-CP-030</v>
      </c>
      <c r="X25" s="4">
        <f ca="1">IF(AND(Fonte&lt;&gt;"",Código&lt;&gt;""),MATCH(Fonte&amp;" "&amp;IF(Fonte="sinapi",SUBSTITUTE(SUBSTITUTE(Código,"/00","/"),"/0","/"),Código),INDIRECT("'[Referência "&amp;DATABASE&amp;".xls]Banco'!$a:$a"),0),"X")</f>
        <v>36</v>
      </c>
      <c r="Y25" s="121">
        <v>161.68</v>
      </c>
      <c r="Z25" s="132">
        <f>ROUND(IF(ISNUMBER(R25),R25,IF(LEFT(R25,3)="BDI",HLOOKUP(R25,DADOS!$T$37:$X$38,2,FALSE),0)),15-11*$X$5)</f>
        <v>0.2231</v>
      </c>
      <c r="AA25" s="4"/>
    </row>
    <row r="26" spans="1:27" ht="12.75">
      <c r="A26">
        <f t="shared" si="0"/>
        <v>2</v>
      </c>
      <c r="B26">
        <f t="shared" si="1"/>
        <v>4</v>
      </c>
      <c r="C26">
        <f ca="1" t="shared" si="2"/>
        <v>1</v>
      </c>
      <c r="D26">
        <f ca="1" t="shared" si="3"/>
        <v>4</v>
      </c>
      <c r="E26">
        <f ca="1" t="shared" si="4"/>
        <v>0</v>
      </c>
      <c r="F26">
        <f ca="1" t="shared" si="5"/>
        <v>0</v>
      </c>
      <c r="G26">
        <f ca="1" t="shared" si="6"/>
        <v>0</v>
      </c>
      <c r="H26">
        <f ca="1" t="shared" si="7"/>
        <v>24</v>
      </c>
      <c r="I26">
        <f ca="1" t="shared" si="8"/>
        <v>4</v>
      </c>
      <c r="J26" s="394" t="s">
        <v>100</v>
      </c>
      <c r="K26" s="162" t="str">
        <f t="shared" si="9"/>
        <v>1.4.</v>
      </c>
      <c r="L26" s="395"/>
      <c r="M26" s="395"/>
      <c r="N26" s="396" t="s">
        <v>245</v>
      </c>
      <c r="O26" s="397" t="s">
        <v>107</v>
      </c>
      <c r="P26" s="232">
        <f ca="1">OFFSET(PLQ!$E$12,ROW($P26)-ROW(P$12),0)</f>
        <v>0</v>
      </c>
      <c r="Q26" s="228"/>
      <c r="R26" s="231" t="s">
        <v>7</v>
      </c>
      <c r="S26" s="121">
        <f t="shared" si="10"/>
        <v>0</v>
      </c>
      <c r="T26" s="98">
        <f t="shared" si="11"/>
        <v>0</v>
      </c>
      <c r="U26" s="13" t="str">
        <f t="shared" si="12"/>
        <v>SEM VALOR</v>
      </c>
      <c r="V26" s="4">
        <f ca="1">IF(OR($A26=0,$A26="S",$A26&gt;CFF!$A$9),"",MAX(V$12:OFFSET(V26,-1,0))+1)</f>
        <v>5</v>
      </c>
      <c r="W26" s="9" t="b">
        <f t="shared" si="13"/>
        <v>0</v>
      </c>
      <c r="X26" s="4" t="str">
        <f ca="1" t="shared" si="14"/>
        <v>X</v>
      </c>
      <c r="Y26" s="121">
        <v>0</v>
      </c>
      <c r="Z26" s="132">
        <f>ROUND(IF(ISNUMBER(R26),R26,IF(LEFT(R26,3)="BDI",HLOOKUP(R26,DADOS!$T$37:$X$38,2,FALSE),0)),15-11*$X$5)</f>
        <v>0.2231</v>
      </c>
      <c r="AA26" s="4"/>
    </row>
    <row r="27" spans="1:27" ht="12.75">
      <c r="A27" t="str">
        <f t="shared" si="0"/>
        <v>S</v>
      </c>
      <c r="B27">
        <f t="shared" si="1"/>
        <v>0</v>
      </c>
      <c r="C27">
        <f ca="1" t="shared" si="2"/>
        <v>1</v>
      </c>
      <c r="D27">
        <f ca="1" t="shared" si="3"/>
        <v>4</v>
      </c>
      <c r="E27">
        <f ca="1" t="shared" si="4"/>
        <v>0</v>
      </c>
      <c r="F27">
        <f ca="1" t="shared" si="5"/>
        <v>0</v>
      </c>
      <c r="G27">
        <f ca="1" t="shared" si="6"/>
        <v>1</v>
      </c>
      <c r="H27">
        <f ca="1" t="shared" si="7"/>
        <v>0</v>
      </c>
      <c r="I27">
        <f ca="1" t="shared" si="8"/>
        <v>0</v>
      </c>
      <c r="J27" s="394" t="s">
        <v>103</v>
      </c>
      <c r="K27" s="162" t="str">
        <f t="shared" si="9"/>
        <v>1.4.1.</v>
      </c>
      <c r="L27" s="395" t="s">
        <v>242</v>
      </c>
      <c r="M27" s="395" t="s">
        <v>250</v>
      </c>
      <c r="N27" s="396" t="s">
        <v>306</v>
      </c>
      <c r="O27" s="397" t="s">
        <v>329</v>
      </c>
      <c r="P27" s="232">
        <f ca="1">OFFSET(PLQ!$E$12,ROW($P27)-ROW(P$12),0)</f>
        <v>18</v>
      </c>
      <c r="Q27" s="228"/>
      <c r="R27" s="231" t="s">
        <v>7</v>
      </c>
      <c r="S27" s="121">
        <f t="shared" si="10"/>
        <v>0</v>
      </c>
      <c r="T27" s="98">
        <f t="shared" si="11"/>
        <v>0</v>
      </c>
      <c r="U27" s="13" t="str">
        <f t="shared" si="12"/>
        <v>SEM VALOR</v>
      </c>
      <c r="V27" s="4">
        <f ca="1">IF(OR($A27=0,$A27="S",$A27&gt;CFF!$A$9),"",MAX(V$12:OFFSET(V27,-1,0))+1)</f>
      </c>
      <c r="W27" s="9" t="str">
        <f t="shared" si="13"/>
        <v>PMN-CP-017</v>
      </c>
      <c r="X27" s="4">
        <f ca="1" t="shared" si="14"/>
        <v>23</v>
      </c>
      <c r="Y27" s="121">
        <v>733.25</v>
      </c>
      <c r="Z27" s="132">
        <f>ROUND(IF(ISNUMBER(R27),R27,IF(LEFT(R27,3)="BDI",HLOOKUP(R27,DADOS!$T$37:$X$38,2,FALSE),0)),15-11*$X$5)</f>
        <v>0.2231</v>
      </c>
      <c r="AA27" s="4"/>
    </row>
    <row r="28" spans="1:27" ht="12.75">
      <c r="A28" t="str">
        <f t="shared" si="0"/>
        <v>S</v>
      </c>
      <c r="B28">
        <f t="shared" si="1"/>
        <v>0</v>
      </c>
      <c r="C28">
        <f ca="1" t="shared" si="2"/>
        <v>1</v>
      </c>
      <c r="D28">
        <f ca="1" t="shared" si="3"/>
        <v>4</v>
      </c>
      <c r="E28">
        <f ca="1" t="shared" si="4"/>
        <v>0</v>
      </c>
      <c r="F28">
        <f ca="1" t="shared" si="5"/>
        <v>0</v>
      </c>
      <c r="G28">
        <f ca="1" t="shared" si="6"/>
        <v>2</v>
      </c>
      <c r="H28">
        <f ca="1" t="shared" si="7"/>
        <v>0</v>
      </c>
      <c r="I28">
        <f ca="1" t="shared" si="8"/>
        <v>0</v>
      </c>
      <c r="J28" s="394" t="s">
        <v>103</v>
      </c>
      <c r="K28" s="162" t="str">
        <f t="shared" si="9"/>
        <v>1.4.2.</v>
      </c>
      <c r="L28" s="395" t="s">
        <v>242</v>
      </c>
      <c r="M28" s="395" t="s">
        <v>251</v>
      </c>
      <c r="N28" s="396" t="s">
        <v>307</v>
      </c>
      <c r="O28" s="397" t="s">
        <v>329</v>
      </c>
      <c r="P28" s="232">
        <f ca="1">OFFSET(PLQ!$E$12,ROW($P28)-ROW(P$12),0)</f>
        <v>13</v>
      </c>
      <c r="Q28" s="228"/>
      <c r="R28" s="231" t="s">
        <v>7</v>
      </c>
      <c r="S28" s="121">
        <f t="shared" si="10"/>
        <v>0</v>
      </c>
      <c r="T28" s="98">
        <f t="shared" si="11"/>
        <v>0</v>
      </c>
      <c r="U28" s="13" t="str">
        <f t="shared" si="12"/>
        <v>SEM VALOR</v>
      </c>
      <c r="V28" s="4">
        <f ca="1">IF(OR($A28=0,$A28="S",$A28&gt;CFF!$A$9),"",MAX(V$12:OFFSET(V28,-1,0))+1)</f>
      </c>
      <c r="W28" s="9" t="str">
        <f t="shared" si="13"/>
        <v>PMN-CP-018</v>
      </c>
      <c r="X28" s="4">
        <f ca="1" t="shared" si="14"/>
        <v>24</v>
      </c>
      <c r="Y28" s="121">
        <v>1120.95</v>
      </c>
      <c r="Z28" s="132">
        <f>ROUND(IF(ISNUMBER(R28),R28,IF(LEFT(R28,3)="BDI",HLOOKUP(R28,DADOS!$T$37:$X$38,2,FALSE),0)),15-11*$X$5)</f>
        <v>0.2231</v>
      </c>
      <c r="AA28" s="4"/>
    </row>
    <row r="29" spans="1:27" ht="12.75">
      <c r="A29" t="str">
        <f>CHOOSE(1+LOG(1+2*(J29="Meta")+4*(J29="Nível 2")+8*(J29="Nível 3")+16*(J29="Nível 4")+32*(J29="Serviço"),2),0,1,2,3,4,"S")</f>
        <v>S</v>
      </c>
      <c r="B29">
        <f>IF(OR(A29="S",A29=0),0,IF(ISERROR(I29),H29,SMALL(H29:I29,1)))</f>
        <v>0</v>
      </c>
      <c r="C29">
        <f ca="1">IF($A29=1,OFFSET(C29,-1,0)+1,OFFSET(C29,-1,0))</f>
        <v>1</v>
      </c>
      <c r="D29">
        <f ca="1">IF($A29=1,0,IF($A29=2,OFFSET(D29,-1,0)+1,OFFSET(D29,-1,0)))</f>
        <v>4</v>
      </c>
      <c r="E29">
        <f ca="1">IF(AND($A29&lt;=2,$A29&lt;&gt;0),0,IF($A29=3,OFFSET(E29,-1,0)+1,OFFSET(E29,-1,0)))</f>
        <v>0</v>
      </c>
      <c r="F29">
        <f ca="1">IF(AND($A29&lt;=3,$A29&lt;&gt;0),0,IF($A29=4,OFFSET(F29,-1,0)+1,OFFSET(F29,-1,0)))</f>
        <v>0</v>
      </c>
      <c r="G29">
        <f ca="1">IF(AND($A29&lt;=4,$A29&lt;&gt;0),0,IF($A29="S",OFFSET(G29,-1,0)+1,OFFSET(G29,-1,0)))</f>
        <v>3</v>
      </c>
      <c r="H29">
        <f ca="1" t="shared" si="7"/>
        <v>0</v>
      </c>
      <c r="I29">
        <f ca="1" t="shared" si="8"/>
        <v>0</v>
      </c>
      <c r="J29" s="394" t="s">
        <v>103</v>
      </c>
      <c r="K29" s="162" t="str">
        <f>IF($A29=0,"-",CONCATENATE(C29&amp;".",IF(AND($A$5&gt;=2,$A29&gt;=2),D29&amp;".",""),IF(AND($A$5&gt;=3,$A29&gt;=3),E29&amp;".",""),IF(AND($A$5&gt;=4,$A29&gt;=4),F29&amp;".",""),IF($A29="S",G29&amp;".","")))</f>
        <v>1.4.3.</v>
      </c>
      <c r="L29" s="395" t="s">
        <v>242</v>
      </c>
      <c r="M29" s="395" t="s">
        <v>271</v>
      </c>
      <c r="N29" s="396" t="s">
        <v>308</v>
      </c>
      <c r="O29" s="397" t="s">
        <v>329</v>
      </c>
      <c r="P29" s="232">
        <f ca="1">OFFSET(PLQ!$E$12,ROW($P29)-ROW(P$12),0)</f>
        <v>2</v>
      </c>
      <c r="Q29" s="228"/>
      <c r="R29" s="231" t="s">
        <v>7</v>
      </c>
      <c r="S29" s="121">
        <f>IF($A29="S",IF($Q$10="Preço Unitário (R$)",PO.CustoUnitario,ROUND(PO.CustoUnitario*(1+$Z29),15-13*$X$6)),0)</f>
        <v>0</v>
      </c>
      <c r="T29" s="98">
        <f>IF($A29="S",VTOTAL1,IF($A29=0,0,ROUND(SomaAgrup,15-13*$X$7)))</f>
        <v>0</v>
      </c>
      <c r="U29" s="13" t="str">
        <f>IF($J29="","",IF($N29="","DESCRIÇÃO",IF(AND($J29="Serviço",$O29=""),"UNIDADE",IF($T29&lt;=0,"SEM VALOR",IF(AND($Y29&lt;&gt;"",$Q29&gt;$Y29),"ACIMA REF.","")))))</f>
        <v>SEM VALOR</v>
      </c>
      <c r="V29" s="4">
        <f ca="1">IF(OR($A29=0,$A29="S",$A29&gt;CFF!$A$9),"",MAX(V$12:OFFSET(V29,-1,0))+1)</f>
      </c>
      <c r="W29" s="9" t="str">
        <f>IF(AND($J29="Serviço",$M29&lt;&gt;""),IF($L29="",$M29,CONCATENATE($L29,"-",$M29)))</f>
        <v>PMN-CP-027</v>
      </c>
      <c r="X29" s="4">
        <f ca="1">IF(AND(Fonte&lt;&gt;"",Código&lt;&gt;""),MATCH(Fonte&amp;" "&amp;IF(Fonte="sinapi",SUBSTITUTE(SUBSTITUTE(Código,"/00","/"),"/0","/"),Código),INDIRECT("'[Referência "&amp;DATABASE&amp;".xls]Banco'!$a:$a"),0),"X")</f>
        <v>33</v>
      </c>
      <c r="Y29" s="121">
        <v>1136.42</v>
      </c>
      <c r="Z29" s="132">
        <f>ROUND(IF(ISNUMBER(R29),R29,IF(LEFT(R29,3)="BDI",HLOOKUP(R29,DADOS!$T$37:$X$38,2,FALSE),0)),15-11*$X$5)</f>
        <v>0.2231</v>
      </c>
      <c r="AA29" s="4"/>
    </row>
    <row r="30" spans="1:27" ht="12.75">
      <c r="A30">
        <f t="shared" si="0"/>
        <v>2</v>
      </c>
      <c r="B30">
        <f t="shared" si="1"/>
        <v>3</v>
      </c>
      <c r="C30">
        <f ca="1" t="shared" si="2"/>
        <v>1</v>
      </c>
      <c r="D30">
        <f ca="1" t="shared" si="3"/>
        <v>5</v>
      </c>
      <c r="E30">
        <f ca="1" t="shared" si="4"/>
        <v>0</v>
      </c>
      <c r="F30">
        <f ca="1" t="shared" si="5"/>
        <v>0</v>
      </c>
      <c r="G30">
        <f ca="1" t="shared" si="6"/>
        <v>0</v>
      </c>
      <c r="H30">
        <f ca="1" t="shared" si="7"/>
        <v>20</v>
      </c>
      <c r="I30">
        <f ca="1" t="shared" si="8"/>
        <v>3</v>
      </c>
      <c r="J30" s="394" t="s">
        <v>100</v>
      </c>
      <c r="K30" s="162" t="str">
        <f t="shared" si="9"/>
        <v>1.5.</v>
      </c>
      <c r="L30" s="395"/>
      <c r="M30" s="395"/>
      <c r="N30" s="396" t="s">
        <v>246</v>
      </c>
      <c r="O30" s="397" t="s">
        <v>107</v>
      </c>
      <c r="P30" s="232">
        <f ca="1">OFFSET(PLQ!$E$12,ROW($P30)-ROW(P$12),0)</f>
        <v>0</v>
      </c>
      <c r="Q30" s="228"/>
      <c r="R30" s="231" t="s">
        <v>7</v>
      </c>
      <c r="S30" s="121">
        <f t="shared" si="10"/>
        <v>0</v>
      </c>
      <c r="T30" s="98">
        <f t="shared" si="11"/>
        <v>0</v>
      </c>
      <c r="U30" s="13" t="str">
        <f t="shared" si="12"/>
        <v>SEM VALOR</v>
      </c>
      <c r="V30" s="4">
        <f ca="1">IF(OR($A30=0,$A30="S",$A30&gt;CFF!$A$9),"",MAX(V$12:OFFSET(V30,-1,0))+1)</f>
        <v>6</v>
      </c>
      <c r="W30" s="9" t="b">
        <f t="shared" si="13"/>
        <v>0</v>
      </c>
      <c r="X30" s="4" t="str">
        <f ca="1" t="shared" si="14"/>
        <v>X</v>
      </c>
      <c r="Y30" s="121">
        <v>0</v>
      </c>
      <c r="Z30" s="132">
        <f>ROUND(IF(ISNUMBER(R30),R30,IF(LEFT(R30,3)="BDI",HLOOKUP(R30,DADOS!$T$37:$X$38,2,FALSE),0)),15-11*$X$5)</f>
        <v>0.2231</v>
      </c>
      <c r="AA30" s="4"/>
    </row>
    <row r="31" spans="1:27" ht="12.75">
      <c r="A31" t="str">
        <f t="shared" si="0"/>
        <v>S</v>
      </c>
      <c r="B31">
        <f t="shared" si="1"/>
        <v>0</v>
      </c>
      <c r="C31">
        <f ca="1" t="shared" si="2"/>
        <v>1</v>
      </c>
      <c r="D31">
        <f ca="1" t="shared" si="3"/>
        <v>5</v>
      </c>
      <c r="E31">
        <f ca="1" t="shared" si="4"/>
        <v>0</v>
      </c>
      <c r="F31">
        <f ca="1" t="shared" si="5"/>
        <v>0</v>
      </c>
      <c r="G31">
        <f ca="1" t="shared" si="6"/>
        <v>1</v>
      </c>
      <c r="H31">
        <f ca="1" t="shared" si="7"/>
        <v>0</v>
      </c>
      <c r="I31">
        <f ca="1" t="shared" si="8"/>
        <v>0</v>
      </c>
      <c r="J31" s="394" t="s">
        <v>103</v>
      </c>
      <c r="K31" s="162" t="str">
        <f t="shared" si="9"/>
        <v>1.5.1.</v>
      </c>
      <c r="L31" s="395" t="s">
        <v>242</v>
      </c>
      <c r="M31" s="395" t="s">
        <v>252</v>
      </c>
      <c r="N31" s="396" t="s">
        <v>309</v>
      </c>
      <c r="O31" s="397" t="s">
        <v>329</v>
      </c>
      <c r="P31" s="232">
        <f ca="1">OFFSET(PLQ!$E$12,ROW($P31)-ROW(P$12),0)</f>
        <v>53</v>
      </c>
      <c r="Q31" s="228"/>
      <c r="R31" s="231" t="s">
        <v>7</v>
      </c>
      <c r="S31" s="121">
        <f t="shared" si="10"/>
        <v>0</v>
      </c>
      <c r="T31" s="98">
        <f t="shared" si="11"/>
        <v>0</v>
      </c>
      <c r="U31" s="13" t="str">
        <f t="shared" si="12"/>
        <v>SEM VALOR</v>
      </c>
      <c r="V31" s="4">
        <f ca="1">IF(OR($A31=0,$A31="S",$A31&gt;CFF!$A$9),"",MAX(V$12:OFFSET(V31,-1,0))+1)</f>
      </c>
      <c r="W31" s="9" t="str">
        <f t="shared" si="13"/>
        <v>PMN-CP-001</v>
      </c>
      <c r="X31" s="4">
        <f ca="1" t="shared" si="14"/>
        <v>7</v>
      </c>
      <c r="Y31" s="121">
        <v>175.07</v>
      </c>
      <c r="Z31" s="132">
        <f>ROUND(IF(ISNUMBER(R31),R31,IF(LEFT(R31,3)="BDI",HLOOKUP(R31,DADOS!$T$37:$X$38,2,FALSE),0)),15-11*$X$5)</f>
        <v>0.2231</v>
      </c>
      <c r="AA31" s="4"/>
    </row>
    <row r="32" spans="1:27" ht="12.75">
      <c r="A32" t="str">
        <f t="shared" si="0"/>
        <v>S</v>
      </c>
      <c r="B32">
        <f t="shared" si="1"/>
        <v>0</v>
      </c>
      <c r="C32">
        <f ca="1" t="shared" si="2"/>
        <v>1</v>
      </c>
      <c r="D32">
        <f ca="1" t="shared" si="3"/>
        <v>5</v>
      </c>
      <c r="E32">
        <f ca="1" t="shared" si="4"/>
        <v>0</v>
      </c>
      <c r="F32">
        <f ca="1" t="shared" si="5"/>
        <v>0</v>
      </c>
      <c r="G32">
        <f ca="1" t="shared" si="6"/>
        <v>2</v>
      </c>
      <c r="H32">
        <f ca="1" t="shared" si="7"/>
        <v>0</v>
      </c>
      <c r="I32">
        <f ca="1" t="shared" si="8"/>
        <v>0</v>
      </c>
      <c r="J32" s="394" t="s">
        <v>103</v>
      </c>
      <c r="K32" s="162" t="str">
        <f t="shared" si="9"/>
        <v>1.5.2.</v>
      </c>
      <c r="L32" s="395" t="s">
        <v>242</v>
      </c>
      <c r="M32" s="395" t="s">
        <v>253</v>
      </c>
      <c r="N32" s="396" t="s">
        <v>310</v>
      </c>
      <c r="O32" s="397" t="s">
        <v>327</v>
      </c>
      <c r="P32" s="232">
        <f ca="1">OFFSET(PLQ!$E$12,ROW($P32)-ROW(P$12),0)</f>
        <v>1214</v>
      </c>
      <c r="Q32" s="228"/>
      <c r="R32" s="231" t="s">
        <v>7</v>
      </c>
      <c r="S32" s="121">
        <f t="shared" si="10"/>
        <v>0</v>
      </c>
      <c r="T32" s="98">
        <f t="shared" si="11"/>
        <v>0</v>
      </c>
      <c r="U32" s="13" t="str">
        <f t="shared" si="12"/>
        <v>SEM VALOR</v>
      </c>
      <c r="V32" s="4">
        <f ca="1">IF(OR($A32=0,$A32="S",$A32&gt;CFF!$A$9),"",MAX(V$12:OFFSET(V32,-1,0))+1)</f>
      </c>
      <c r="W32" s="9" t="str">
        <f t="shared" si="13"/>
        <v>PMN-CP-007</v>
      </c>
      <c r="X32" s="4">
        <f ca="1" t="shared" si="14"/>
        <v>13</v>
      </c>
      <c r="Y32" s="121">
        <v>20.96</v>
      </c>
      <c r="Z32" s="132">
        <f>ROUND(IF(ISNUMBER(R32),R32,IF(LEFT(R32,3)="BDI",HLOOKUP(R32,DADOS!$T$37:$X$38,2,FALSE),0)),15-11*$X$5)</f>
        <v>0.2231</v>
      </c>
      <c r="AA32" s="4"/>
    </row>
    <row r="33" spans="1:27" ht="12.75">
      <c r="A33">
        <f>CHOOSE(1+LOG(1+2*(J33="Meta")+4*(J33="Nível 2")+8*(J33="Nível 3")+16*(J33="Nível 4")+32*(J33="Serviço"),2),0,1,2,3,4,"S")</f>
        <v>2</v>
      </c>
      <c r="B33">
        <f>IF(OR(A33="S",A33=0),0,IF(ISERROR(I33),H33,SMALL(H33:I33,1)))</f>
        <v>5</v>
      </c>
      <c r="C33">
        <f ca="1">IF($A33=1,OFFSET(C33,-1,0)+1,OFFSET(C33,-1,0))</f>
        <v>1</v>
      </c>
      <c r="D33">
        <f ca="1">IF($A33=1,0,IF($A33=2,OFFSET(D33,-1,0)+1,OFFSET(D33,-1,0)))</f>
        <v>6</v>
      </c>
      <c r="E33">
        <f ca="1">IF(AND($A33&lt;=2,$A33&lt;&gt;0),0,IF($A33=3,OFFSET(E33,-1,0)+1,OFFSET(E33,-1,0)))</f>
        <v>0</v>
      </c>
      <c r="F33">
        <f ca="1">IF(AND($A33&lt;=3,$A33&lt;&gt;0),0,IF($A33=4,OFFSET(F33,-1,0)+1,OFFSET(F33,-1,0)))</f>
        <v>0</v>
      </c>
      <c r="G33">
        <f ca="1">IF(AND($A33&lt;=4,$A33&lt;&gt;0),0,IF($A33="S",OFFSET(G33,-1,0)+1,OFFSET(G33,-1,0)))</f>
        <v>0</v>
      </c>
      <c r="H33">
        <f ca="1" t="shared" si="7"/>
        <v>17</v>
      </c>
      <c r="I33">
        <f ca="1" t="shared" si="8"/>
        <v>5</v>
      </c>
      <c r="J33" s="394" t="s">
        <v>100</v>
      </c>
      <c r="K33" s="162" t="str">
        <f>IF($A33=0,"-",CONCATENATE(C33&amp;".",IF(AND($A$5&gt;=2,$A33&gt;=2),D33&amp;".",""),IF(AND($A$5&gt;=3,$A33&gt;=3),E33&amp;".",""),IF(AND($A$5&gt;=4,$A33&gt;=4),F33&amp;".",""),IF($A33="S",G33&amp;".","")))</f>
        <v>1.6.</v>
      </c>
      <c r="L33" s="395"/>
      <c r="M33" s="395"/>
      <c r="N33" s="396" t="s">
        <v>273</v>
      </c>
      <c r="O33" s="397" t="s">
        <v>107</v>
      </c>
      <c r="P33" s="232">
        <f ca="1">OFFSET(PLQ!$E$12,ROW($P33)-ROW(P$12),0)</f>
        <v>0</v>
      </c>
      <c r="Q33" s="228"/>
      <c r="R33" s="231" t="s">
        <v>7</v>
      </c>
      <c r="S33" s="121">
        <f>IF($A33="S",IF($Q$10="Preço Unitário (R$)",PO.CustoUnitario,ROUND(PO.CustoUnitario*(1+$Z33),15-13*$X$6)),0)</f>
        <v>0</v>
      </c>
      <c r="T33" s="98">
        <f>IF($A33="S",VTOTAL1,IF($A33=0,0,ROUND(SomaAgrup,15-13*$X$7)))</f>
        <v>0</v>
      </c>
      <c r="U33" s="13" t="str">
        <f>IF($J33="","",IF($N33="","DESCRIÇÃO",IF(AND($J33="Serviço",$O33=""),"UNIDADE",IF($T33&lt;=0,"SEM VALOR",IF(AND($Y33&lt;&gt;"",$Q33&gt;$Y33),"ACIMA REF.","")))))</f>
        <v>SEM VALOR</v>
      </c>
      <c r="V33" s="4">
        <f ca="1">IF(OR($A33=0,$A33="S",$A33&gt;CFF!$A$9),"",MAX(V$12:OFFSET(V33,-1,0))+1)</f>
        <v>7</v>
      </c>
      <c r="W33" s="9" t="b">
        <f>IF(AND($J33="Serviço",$M33&lt;&gt;""),IF($L33="",$M33,CONCATENATE($L33,"-",$M33)))</f>
        <v>0</v>
      </c>
      <c r="X33" s="4" t="str">
        <f ca="1">IF(AND(Fonte&lt;&gt;"",Código&lt;&gt;""),MATCH(Fonte&amp;" "&amp;IF(Fonte="sinapi",SUBSTITUTE(SUBSTITUTE(Código,"/00","/"),"/0","/"),Código),INDIRECT("'[Referência "&amp;DATABASE&amp;".xls]Banco'!$a:$a"),0),"X")</f>
        <v>X</v>
      </c>
      <c r="Y33" s="121">
        <v>0</v>
      </c>
      <c r="Z33" s="132">
        <f>ROUND(IF(ISNUMBER(R33),R33,IF(LEFT(R33,3)="BDI",HLOOKUP(R33,DADOS!$T$37:$X$38,2,FALSE),0)),15-11*$X$5)</f>
        <v>0.2231</v>
      </c>
      <c r="AA33" s="4"/>
    </row>
    <row r="34" spans="1:27" ht="12.75">
      <c r="A34" t="str">
        <f>CHOOSE(1+LOG(1+2*(J34="Meta")+4*(J34="Nível 2")+8*(J34="Nível 3")+16*(J34="Nível 4")+32*(J34="Serviço"),2),0,1,2,3,4,"S")</f>
        <v>S</v>
      </c>
      <c r="B34">
        <f>IF(OR(A34="S",A34=0),0,IF(ISERROR(I34),H34,SMALL(H34:I34,1)))</f>
        <v>0</v>
      </c>
      <c r="C34">
        <f ca="1">IF($A34=1,OFFSET(C34,-1,0)+1,OFFSET(C34,-1,0))</f>
        <v>1</v>
      </c>
      <c r="D34">
        <f ca="1">IF($A34=1,0,IF($A34=2,OFFSET(D34,-1,0)+1,OFFSET(D34,-1,0)))</f>
        <v>6</v>
      </c>
      <c r="E34">
        <f ca="1">IF(AND($A34&lt;=2,$A34&lt;&gt;0),0,IF($A34=3,OFFSET(E34,-1,0)+1,OFFSET(E34,-1,0)))</f>
        <v>0</v>
      </c>
      <c r="F34">
        <f ca="1">IF(AND($A34&lt;=3,$A34&lt;&gt;0),0,IF($A34=4,OFFSET(F34,-1,0)+1,OFFSET(F34,-1,0)))</f>
        <v>0</v>
      </c>
      <c r="G34">
        <f ca="1">IF(AND($A34&lt;=4,$A34&lt;&gt;0),0,IF($A34="S",OFFSET(G34,-1,0)+1,OFFSET(G34,-1,0)))</f>
        <v>1</v>
      </c>
      <c r="H34">
        <f ca="1" t="shared" si="7"/>
        <v>0</v>
      </c>
      <c r="I34">
        <f ca="1" t="shared" si="8"/>
        <v>0</v>
      </c>
      <c r="J34" s="394" t="s">
        <v>103</v>
      </c>
      <c r="K34" s="162" t="str">
        <f>IF($A34=0,"-",CONCATENATE(C34&amp;".",IF(AND($A$5&gt;=2,$A34&gt;=2),D34&amp;".",""),IF(AND($A$5&gt;=3,$A34&gt;=3),E34&amp;".",""),IF(AND($A$5&gt;=4,$A34&gt;=4),F34&amp;".",""),IF($A34="S",G34&amp;".","")))</f>
        <v>1.6.1.</v>
      </c>
      <c r="L34" s="395" t="s">
        <v>242</v>
      </c>
      <c r="M34" s="395" t="s">
        <v>274</v>
      </c>
      <c r="N34" s="396" t="s">
        <v>311</v>
      </c>
      <c r="O34" s="397" t="s">
        <v>329</v>
      </c>
      <c r="P34" s="232">
        <f ca="1">OFFSET(PLQ!$E$12,ROW($P34)-ROW(P$12),0)</f>
        <v>4</v>
      </c>
      <c r="Q34" s="228"/>
      <c r="R34" s="231" t="s">
        <v>7</v>
      </c>
      <c r="S34" s="121">
        <f>IF($A34="S",IF($Q$10="Preço Unitário (R$)",PO.CustoUnitario,ROUND(PO.CustoUnitario*(1+$Z34),15-13*$X$6)),0)</f>
        <v>0</v>
      </c>
      <c r="T34" s="98">
        <f>IF($A34="S",VTOTAL1,IF($A34=0,0,ROUND(SomaAgrup,15-13*$X$7)))</f>
        <v>0</v>
      </c>
      <c r="U34" s="13" t="str">
        <f>IF($J34="","",IF($N34="","DESCRIÇÃO",IF(AND($J34="Serviço",$O34=""),"UNIDADE",IF($T34&lt;=0,"SEM VALOR",IF(AND($Y34&lt;&gt;"",$Q34&gt;$Y34),"ACIMA REF.","")))))</f>
        <v>SEM VALOR</v>
      </c>
      <c r="V34" s="4">
        <f ca="1">IF(OR($A34=0,$A34="S",$A34&gt;CFF!$A$9),"",MAX(V$12:OFFSET(V34,-1,0))+1)</f>
      </c>
      <c r="W34" s="9" t="str">
        <f>IF(AND($J34="Serviço",$M34&lt;&gt;""),IF($L34="",$M34,CONCATENATE($L34,"-",$M34)))</f>
        <v>PMN-CP-022</v>
      </c>
      <c r="X34" s="4">
        <f ca="1">IF(AND(Fonte&lt;&gt;"",Código&lt;&gt;""),MATCH(Fonte&amp;" "&amp;IF(Fonte="sinapi",SUBSTITUTE(SUBSTITUTE(Código,"/00","/"),"/0","/"),Código),INDIRECT("'[Referência "&amp;DATABASE&amp;".xls]Banco'!$a:$a"),0),"X")</f>
        <v>28</v>
      </c>
      <c r="Y34" s="121">
        <v>4172.59</v>
      </c>
      <c r="Z34" s="132">
        <f>ROUND(IF(ISNUMBER(R34),R34,IF(LEFT(R34,3)="BDI",HLOOKUP(R34,DADOS!$T$37:$X$38,2,FALSE),0)),15-11*$X$5)</f>
        <v>0.2231</v>
      </c>
      <c r="AA34" s="4"/>
    </row>
    <row r="35" spans="1:27" ht="12.75">
      <c r="A35" t="str">
        <f>CHOOSE(1+LOG(1+2*(J35="Meta")+4*(J35="Nível 2")+8*(J35="Nível 3")+16*(J35="Nível 4")+32*(J35="Serviço"),2),0,1,2,3,4,"S")</f>
        <v>S</v>
      </c>
      <c r="B35">
        <f>IF(OR(A35="S",A35=0),0,IF(ISERROR(I35),H35,SMALL(H35:I35,1)))</f>
        <v>0</v>
      </c>
      <c r="C35">
        <f ca="1">IF($A35=1,OFFSET(C35,-1,0)+1,OFFSET(C35,-1,0))</f>
        <v>1</v>
      </c>
      <c r="D35">
        <f ca="1">IF($A35=1,0,IF($A35=2,OFFSET(D35,-1,0)+1,OFFSET(D35,-1,0)))</f>
        <v>6</v>
      </c>
      <c r="E35">
        <f ca="1">IF(AND($A35&lt;=2,$A35&lt;&gt;0),0,IF($A35=3,OFFSET(E35,-1,0)+1,OFFSET(E35,-1,0)))</f>
        <v>0</v>
      </c>
      <c r="F35">
        <f ca="1">IF(AND($A35&lt;=3,$A35&lt;&gt;0),0,IF($A35=4,OFFSET(F35,-1,0)+1,OFFSET(F35,-1,0)))</f>
        <v>0</v>
      </c>
      <c r="G35">
        <f ca="1">IF(AND($A35&lt;=4,$A35&lt;&gt;0),0,IF($A35="S",OFFSET(G35,-1,0)+1,OFFSET(G35,-1,0)))</f>
        <v>2</v>
      </c>
      <c r="H35">
        <f ca="1" t="shared" si="7"/>
        <v>0</v>
      </c>
      <c r="I35">
        <f ca="1" t="shared" si="8"/>
        <v>0</v>
      </c>
      <c r="J35" s="394" t="s">
        <v>103</v>
      </c>
      <c r="K35" s="162" t="str">
        <f>IF($A35=0,"-",CONCATENATE(C35&amp;".",IF(AND($A$5&gt;=2,$A35&gt;=2),D35&amp;".",""),IF(AND($A$5&gt;=3,$A35&gt;=3),E35&amp;".",""),IF(AND($A$5&gt;=4,$A35&gt;=4),F35&amp;".",""),IF($A35="S",G35&amp;".","")))</f>
        <v>1.6.2.</v>
      </c>
      <c r="L35" s="395" t="s">
        <v>242</v>
      </c>
      <c r="M35" s="395" t="s">
        <v>275</v>
      </c>
      <c r="N35" s="396" t="s">
        <v>312</v>
      </c>
      <c r="O35" s="397" t="s">
        <v>329</v>
      </c>
      <c r="P35" s="232">
        <f ca="1">OFFSET(PLQ!$E$12,ROW($P35)-ROW(P$12),0)</f>
        <v>2</v>
      </c>
      <c r="Q35" s="228"/>
      <c r="R35" s="231" t="s">
        <v>7</v>
      </c>
      <c r="S35" s="121">
        <f aca="true" t="shared" si="15" ref="S35:S40">IF($A35="S",IF($Q$10="Preço Unitário (R$)",PO.CustoUnitario,ROUND(PO.CustoUnitario*(1+$Z35),15-13*$X$6)),0)</f>
        <v>0</v>
      </c>
      <c r="T35" s="98">
        <f aca="true" t="shared" si="16" ref="T35:T40">IF($A35="S",VTOTAL1,IF($A35=0,0,ROUND(SomaAgrup,15-13*$X$7)))</f>
        <v>0</v>
      </c>
      <c r="U35" s="13" t="str">
        <f>IF($J35="","",IF($N35="","DESCRIÇÃO",IF(AND($J35="Serviço",$O35=""),"UNIDADE",IF($T35&lt;=0,"SEM VALOR",IF(AND($Y35&lt;&gt;"",$Q35&gt;$Y35),"ACIMA REF.","")))))</f>
        <v>SEM VALOR</v>
      </c>
      <c r="V35" s="4">
        <f ca="1">IF(OR($A35=0,$A35="S",$A35&gt;CFF!$A$9),"",MAX(V$12:OFFSET(V35,-1,0))+1)</f>
      </c>
      <c r="W35" s="9" t="str">
        <f>IF(AND($J35="Serviço",$M35&lt;&gt;""),IF($L35="",$M35,CONCATENATE($L35,"-",$M35)))</f>
        <v>PMN-CP-026</v>
      </c>
      <c r="X35" s="4">
        <f aca="true" ca="1" t="shared" si="17" ref="X35:X40">IF(AND(Fonte&lt;&gt;"",Código&lt;&gt;""),MATCH(Fonte&amp;" "&amp;IF(Fonte="sinapi",SUBSTITUTE(SUBSTITUTE(Código,"/00","/"),"/0","/"),Código),INDIRECT("'[Referência "&amp;DATABASE&amp;".xls]Banco'!$a:$a"),0),"X")</f>
        <v>32</v>
      </c>
      <c r="Y35" s="121">
        <v>3588.47</v>
      </c>
      <c r="Z35" s="132">
        <f>ROUND(IF(ISNUMBER(R35),R35,IF(LEFT(R35,3)="BDI",HLOOKUP(R35,DADOS!$T$37:$X$38,2,FALSE),0)),15-11*$X$5)</f>
        <v>0.2231</v>
      </c>
      <c r="AA35" s="4"/>
    </row>
    <row r="36" spans="1:27" ht="12.75">
      <c r="A36" t="str">
        <f>CHOOSE(1+LOG(1+2*(J36="Meta")+4*(J36="Nível 2")+8*(J36="Nível 3")+16*(J36="Nível 4")+32*(J36="Serviço"),2),0,1,2,3,4,"S")</f>
        <v>S</v>
      </c>
      <c r="B36">
        <f>IF(OR(A36="S",A36=0),0,IF(ISERROR(I36),H36,SMALL(H36:I36,1)))</f>
        <v>0</v>
      </c>
      <c r="C36">
        <f ca="1">IF($A36=1,OFFSET(C36,-1,0)+1,OFFSET(C36,-1,0))</f>
        <v>1</v>
      </c>
      <c r="D36">
        <f ca="1">IF($A36=1,0,IF($A36=2,OFFSET(D36,-1,0)+1,OFFSET(D36,-1,0)))</f>
        <v>6</v>
      </c>
      <c r="E36">
        <f ca="1">IF(AND($A36&lt;=2,$A36&lt;&gt;0),0,IF($A36=3,OFFSET(E36,-1,0)+1,OFFSET(E36,-1,0)))</f>
        <v>0</v>
      </c>
      <c r="F36">
        <f ca="1">IF(AND($A36&lt;=3,$A36&lt;&gt;0),0,IF($A36=4,OFFSET(F36,-1,0)+1,OFFSET(F36,-1,0)))</f>
        <v>0</v>
      </c>
      <c r="G36">
        <f ca="1">IF(AND($A36&lt;=4,$A36&lt;&gt;0),0,IF($A36="S",OFFSET(G36,-1,0)+1,OFFSET(G36,-1,0)))</f>
        <v>3</v>
      </c>
      <c r="H36">
        <f ca="1" t="shared" si="7"/>
        <v>0</v>
      </c>
      <c r="I36">
        <f ca="1" t="shared" si="8"/>
        <v>0</v>
      </c>
      <c r="J36" s="394" t="s">
        <v>103</v>
      </c>
      <c r="K36" s="162" t="str">
        <f>IF($A36=0,"-",CONCATENATE(C36&amp;".",IF(AND($A$5&gt;=2,$A36&gt;=2),D36&amp;".",""),IF(AND($A$5&gt;=3,$A36&gt;=3),E36&amp;".",""),IF(AND($A$5&gt;=4,$A36&gt;=4),F36&amp;".",""),IF($A36="S",G36&amp;".","")))</f>
        <v>1.6.3.</v>
      </c>
      <c r="L36" s="395" t="s">
        <v>242</v>
      </c>
      <c r="M36" s="395" t="s">
        <v>279</v>
      </c>
      <c r="N36" s="396" t="s">
        <v>313</v>
      </c>
      <c r="O36" s="397" t="s">
        <v>329</v>
      </c>
      <c r="P36" s="232">
        <f ca="1">OFFSET(PLQ!$E$12,ROW($P36)-ROW(P$12),0)</f>
        <v>1</v>
      </c>
      <c r="Q36" s="228"/>
      <c r="R36" s="231" t="s">
        <v>7</v>
      </c>
      <c r="S36" s="121">
        <f t="shared" si="15"/>
        <v>0</v>
      </c>
      <c r="T36" s="98">
        <f t="shared" si="16"/>
        <v>0</v>
      </c>
      <c r="U36" s="13" t="str">
        <f>IF($J36="","",IF($N36="","DESCRIÇÃO",IF(AND($J36="Serviço",$O36=""),"UNIDADE",IF($T36&lt;=0,"SEM VALOR",IF(AND($Y36&lt;&gt;"",$Q36&gt;$Y36),"ACIMA REF.","")))))</f>
        <v>SEM VALOR</v>
      </c>
      <c r="V36" s="4">
        <f ca="1">IF(OR($A36=0,$A36="S",$A36&gt;CFF!$A$9),"",MAX(V$12:OFFSET(V36,-1,0))+1)</f>
      </c>
      <c r="W36" s="9" t="str">
        <f>IF(AND($J36="Serviço",$M36&lt;&gt;""),IF($L36="",$M36,CONCATENATE($L36,"-",$M36)))</f>
        <v>PMN-CP-028</v>
      </c>
      <c r="X36" s="4">
        <f ca="1" t="shared" si="17"/>
        <v>34</v>
      </c>
      <c r="Y36" s="121">
        <v>6704.81</v>
      </c>
      <c r="Z36" s="132">
        <f>ROUND(IF(ISNUMBER(R36),R36,IF(LEFT(R36,3)="BDI",HLOOKUP(R36,DADOS!$T$37:$X$38,2,FALSE),0)),15-11*$X$5)</f>
        <v>0.2231</v>
      </c>
      <c r="AA36" s="4"/>
    </row>
    <row r="37" spans="1:27" ht="12.75">
      <c r="A37" t="str">
        <f>CHOOSE(1+LOG(1+2*(J37="Meta")+4*(J37="Nível 2")+8*(J37="Nível 3")+16*(J37="Nível 4")+32*(J37="Serviço"),2),0,1,2,3,4,"S")</f>
        <v>S</v>
      </c>
      <c r="B37">
        <f>IF(OR(A37="S",A37=0),0,IF(ISERROR(I37),H37,SMALL(H37:I37,1)))</f>
        <v>0</v>
      </c>
      <c r="C37">
        <f ca="1">IF($A37=1,OFFSET(C37,-1,0)+1,OFFSET(C37,-1,0))</f>
        <v>1</v>
      </c>
      <c r="D37">
        <f ca="1">IF($A37=1,0,IF($A37=2,OFFSET(D37,-1,0)+1,OFFSET(D37,-1,0)))</f>
        <v>6</v>
      </c>
      <c r="E37">
        <f ca="1">IF(AND($A37&lt;=2,$A37&lt;&gt;0),0,IF($A37=3,OFFSET(E37,-1,0)+1,OFFSET(E37,-1,0)))</f>
        <v>0</v>
      </c>
      <c r="F37">
        <f ca="1">IF(AND($A37&lt;=3,$A37&lt;&gt;0),0,IF($A37=4,OFFSET(F37,-1,0)+1,OFFSET(F37,-1,0)))</f>
        <v>0</v>
      </c>
      <c r="G37">
        <f ca="1">IF(AND($A37&lt;=4,$A37&lt;&gt;0),0,IF($A37="S",OFFSET(G37,-1,0)+1,OFFSET(G37,-1,0)))</f>
        <v>4</v>
      </c>
      <c r="H37">
        <f ca="1" t="shared" si="7"/>
        <v>0</v>
      </c>
      <c r="I37">
        <f ca="1" t="shared" si="8"/>
        <v>0</v>
      </c>
      <c r="J37" s="394" t="s">
        <v>103</v>
      </c>
      <c r="K37" s="162" t="str">
        <f>IF($A37=0,"-",CONCATENATE(C37&amp;".",IF(AND($A$5&gt;=2,$A37&gt;=2),D37&amp;".",""),IF(AND($A$5&gt;=3,$A37&gt;=3),E37&amp;".",""),IF(AND($A$5&gt;=4,$A37&gt;=4),F37&amp;".",""),IF($A37="S",G37&amp;".","")))</f>
        <v>1.6.4.</v>
      </c>
      <c r="L37" s="395" t="s">
        <v>242</v>
      </c>
      <c r="M37" s="395" t="s">
        <v>281</v>
      </c>
      <c r="N37" s="396" t="s">
        <v>314</v>
      </c>
      <c r="O37" s="397" t="s">
        <v>329</v>
      </c>
      <c r="P37" s="232">
        <f ca="1">OFFSET(PLQ!$E$12,ROW($P37)-ROW(P$12),0)</f>
        <v>1</v>
      </c>
      <c r="Q37" s="228"/>
      <c r="R37" s="231" t="s">
        <v>7</v>
      </c>
      <c r="S37" s="121">
        <f t="shared" si="15"/>
        <v>0</v>
      </c>
      <c r="T37" s="98">
        <f t="shared" si="16"/>
        <v>0</v>
      </c>
      <c r="U37" s="13" t="str">
        <f>IF($J37="","",IF($N37="","DESCRIÇÃO",IF(AND($J37="Serviço",$O37=""),"UNIDADE",IF($T37&lt;=0,"SEM VALOR",IF(AND($Y37&lt;&gt;"",$Q37&gt;$Y37),"ACIMA REF.","")))))</f>
        <v>SEM VALOR</v>
      </c>
      <c r="V37" s="4">
        <f ca="1">IF(OR($A37=0,$A37="S",$A37&gt;CFF!$A$9),"",MAX(V$12:OFFSET(V37,-1,0))+1)</f>
      </c>
      <c r="W37" s="9" t="str">
        <f>IF(AND($J37="Serviço",$M37&lt;&gt;""),IF($L37="",$M37,CONCATENATE($L37,"-",$M37)))</f>
        <v>PMN-CP-031</v>
      </c>
      <c r="X37" s="4">
        <f ca="1" t="shared" si="17"/>
        <v>37</v>
      </c>
      <c r="Y37" s="121">
        <v>16126.04</v>
      </c>
      <c r="Z37" s="132">
        <f>ROUND(IF(ISNUMBER(R37),R37,IF(LEFT(R37,3)="BDI",HLOOKUP(R37,DADOS!$T$37:$X$38,2,FALSE),0)),15-11*$X$5)</f>
        <v>0.2231</v>
      </c>
      <c r="AA37" s="4"/>
    </row>
    <row r="38" spans="1:27" ht="12.75">
      <c r="A38">
        <f>CHOOSE(1+LOG(1+2*(J38="Meta")+4*(J38="Nível 2")+8*(J38="Nível 3")+16*(J38="Nível 4")+32*(J38="Serviço"),2),0,1,2,3,4,"S")</f>
        <v>2</v>
      </c>
      <c r="B38">
        <f>IF(OR(A38="S",A38=0),0,IF(ISERROR(I38),H38,SMALL(H38:I38,1)))</f>
        <v>3</v>
      </c>
      <c r="C38">
        <f ca="1">IF($A38=1,OFFSET(C38,-1,0)+1,OFFSET(C38,-1,0))</f>
        <v>1</v>
      </c>
      <c r="D38">
        <f ca="1">IF($A38=1,0,IF($A38=2,OFFSET(D38,-1,0)+1,OFFSET(D38,-1,0)))</f>
        <v>7</v>
      </c>
      <c r="E38">
        <f ca="1">IF(AND($A38&lt;=2,$A38&lt;&gt;0),0,IF($A38=3,OFFSET(E38,-1,0)+1,OFFSET(E38,-1,0)))</f>
        <v>0</v>
      </c>
      <c r="F38">
        <f ca="1">IF(AND($A38&lt;=3,$A38&lt;&gt;0),0,IF($A38=4,OFFSET(F38,-1,0)+1,OFFSET(F38,-1,0)))</f>
        <v>0</v>
      </c>
      <c r="G38">
        <f ca="1">IF(AND($A38&lt;=4,$A38&lt;&gt;0),0,IF($A38="S",OFFSET(G38,-1,0)+1,OFFSET(G38,-1,0)))</f>
        <v>0</v>
      </c>
      <c r="H38">
        <f ca="1" t="shared" si="7"/>
        <v>12</v>
      </c>
      <c r="I38">
        <f ca="1" t="shared" si="8"/>
        <v>3</v>
      </c>
      <c r="J38" s="394" t="s">
        <v>100</v>
      </c>
      <c r="K38" s="162" t="str">
        <f>IF($A38=0,"-",CONCATENATE(C38&amp;".",IF(AND($A$5&gt;=2,$A38&gt;=2),D38&amp;".",""),IF(AND($A$5&gt;=3,$A38&gt;=3),E38&amp;".",""),IF(AND($A$5&gt;=4,$A38&gt;=4),F38&amp;".",""),IF($A38="S",G38&amp;".","")))</f>
        <v>1.7.</v>
      </c>
      <c r="L38" s="395"/>
      <c r="M38" s="395"/>
      <c r="N38" s="396" t="s">
        <v>287</v>
      </c>
      <c r="O38" s="397" t="s">
        <v>107</v>
      </c>
      <c r="P38" s="232">
        <f ca="1">OFFSET(PLQ!$E$12,ROW($P38)-ROW(P$12),0)</f>
        <v>0</v>
      </c>
      <c r="Q38" s="228"/>
      <c r="R38" s="231" t="s">
        <v>7</v>
      </c>
      <c r="S38" s="121">
        <f t="shared" si="15"/>
        <v>0</v>
      </c>
      <c r="T38" s="98">
        <f t="shared" si="16"/>
        <v>0</v>
      </c>
      <c r="U38" s="13" t="str">
        <f>IF($J38="","",IF($N38="","DESCRIÇÃO",IF(AND($J38="Serviço",$O38=""),"UNIDADE",IF($T38&lt;=0,"SEM VALOR",IF(AND($Y38&lt;&gt;"",$Q38&gt;$Y38),"ACIMA REF.","")))))</f>
        <v>SEM VALOR</v>
      </c>
      <c r="V38" s="4">
        <f ca="1">IF(OR($A38=0,$A38="S",$A38&gt;CFF!$A$9),"",MAX(V$12:OFFSET(V38,-1,0))+1)</f>
        <v>8</v>
      </c>
      <c r="W38" s="9" t="b">
        <f>IF(AND($J38="Serviço",$M38&lt;&gt;""),IF($L38="",$M38,CONCATENATE($L38,"-",$M38)))</f>
        <v>0</v>
      </c>
      <c r="X38" s="4" t="str">
        <f ca="1" t="shared" si="17"/>
        <v>X</v>
      </c>
      <c r="Y38" s="121">
        <v>0</v>
      </c>
      <c r="Z38" s="132">
        <f>ROUND(IF(ISNUMBER(R38),R38,IF(LEFT(R38,3)="BDI",HLOOKUP(R38,DADOS!$T$37:$X$38,2,FALSE),0)),15-11*$X$5)</f>
        <v>0.2231</v>
      </c>
      <c r="AA38" s="4"/>
    </row>
    <row r="39" spans="1:27" ht="12.75">
      <c r="A39" t="str">
        <f>CHOOSE(1+LOG(1+2*(J39="Meta")+4*(J39="Nível 2")+8*(J39="Nível 3")+16*(J39="Nível 4")+32*(J39="Serviço"),2),0,1,2,3,4,"S")</f>
        <v>S</v>
      </c>
      <c r="B39">
        <f>IF(OR(A39="S",A39=0),0,IF(ISERROR(I39),H39,SMALL(H39:I39,1)))</f>
        <v>0</v>
      </c>
      <c r="C39">
        <f ca="1">IF($A39=1,OFFSET(C39,-1,0)+1,OFFSET(C39,-1,0))</f>
        <v>1</v>
      </c>
      <c r="D39">
        <f ca="1">IF($A39=1,0,IF($A39=2,OFFSET(D39,-1,0)+1,OFFSET(D39,-1,0)))</f>
        <v>7</v>
      </c>
      <c r="E39">
        <f ca="1">IF(AND($A39&lt;=2,$A39&lt;&gt;0),0,IF($A39=3,OFFSET(E39,-1,0)+1,OFFSET(E39,-1,0)))</f>
        <v>0</v>
      </c>
      <c r="F39">
        <f ca="1">IF(AND($A39&lt;=3,$A39&lt;&gt;0),0,IF($A39=4,OFFSET(F39,-1,0)+1,OFFSET(F39,-1,0)))</f>
        <v>0</v>
      </c>
      <c r="G39">
        <f ca="1">IF(AND($A39&lt;=4,$A39&lt;&gt;0),0,IF($A39="S",OFFSET(G39,-1,0)+1,OFFSET(G39,-1,0)))</f>
        <v>1</v>
      </c>
      <c r="H39">
        <f ca="1" t="shared" si="7"/>
        <v>0</v>
      </c>
      <c r="I39">
        <f ca="1" t="shared" si="8"/>
        <v>0</v>
      </c>
      <c r="J39" s="394" t="s">
        <v>103</v>
      </c>
      <c r="K39" s="162" t="str">
        <f>IF($A39=0,"-",CONCATENATE(C39&amp;".",IF(AND($A$5&gt;=2,$A39&gt;=2),D39&amp;".",""),IF(AND($A$5&gt;=3,$A39&gt;=3),E39&amp;".",""),IF(AND($A$5&gt;=4,$A39&gt;=4),F39&amp;".",""),IF($A39="S",G39&amp;".","")))</f>
        <v>1.7.1.</v>
      </c>
      <c r="L39" s="395" t="s">
        <v>242</v>
      </c>
      <c r="M39" s="395" t="s">
        <v>288</v>
      </c>
      <c r="N39" s="396" t="s">
        <v>315</v>
      </c>
      <c r="O39" s="397" t="s">
        <v>329</v>
      </c>
      <c r="P39" s="232">
        <f ca="1">OFFSET(PLQ!$E$12,ROW($P39)-ROW(P$12),0)</f>
        <v>70</v>
      </c>
      <c r="Q39" s="228"/>
      <c r="R39" s="231" t="s">
        <v>7</v>
      </c>
      <c r="S39" s="121">
        <f t="shared" si="15"/>
        <v>0</v>
      </c>
      <c r="T39" s="98">
        <f t="shared" si="16"/>
        <v>0</v>
      </c>
      <c r="U39" s="13" t="str">
        <f>IF($J39="","",IF($N39="","DESCRIÇÃO",IF(AND($J39="Serviço",$O39=""),"UNIDADE",IF($T39&lt;=0,"SEM VALOR",IF(AND($Y39&lt;&gt;"",$Q39&gt;$Y39),"ACIMA REF.","")))))</f>
        <v>SEM VALOR</v>
      </c>
      <c r="V39" s="4">
        <f ca="1">IF(OR($A39=0,$A39="S",$A39&gt;CFF!$A$9),"",MAX(V$12:OFFSET(V39,-1,0))+1)</f>
      </c>
      <c r="W39" s="9" t="str">
        <f>IF(AND($J39="Serviço",$M39&lt;&gt;""),IF($L39="",$M39,CONCATENATE($L39,"-",$M39)))</f>
        <v>PMN-CP-003</v>
      </c>
      <c r="X39" s="4">
        <f ca="1" t="shared" si="17"/>
        <v>9</v>
      </c>
      <c r="Y39" s="121">
        <v>230.05</v>
      </c>
      <c r="Z39" s="132">
        <f>ROUND(IF(ISNUMBER(R39),R39,IF(LEFT(R39,3)="BDI",HLOOKUP(R39,DADOS!$T$37:$X$38,2,FALSE),0)),15-11*$X$5)</f>
        <v>0.2231</v>
      </c>
      <c r="AA39" s="4"/>
    </row>
    <row r="40" spans="1:27" ht="12.75">
      <c r="A40" t="str">
        <f>CHOOSE(1+LOG(1+2*(J40="Meta")+4*(J40="Nível 2")+8*(J40="Nível 3")+16*(J40="Nível 4")+32*(J40="Serviço"),2),0,1,2,3,4,"S")</f>
        <v>S</v>
      </c>
      <c r="B40">
        <f>IF(OR(A40="S",A40=0),0,IF(ISERROR(I40),H40,SMALL(H40:I40,1)))</f>
        <v>0</v>
      </c>
      <c r="C40">
        <f ca="1">IF($A40=1,OFFSET(C40,-1,0)+1,OFFSET(C40,-1,0))</f>
        <v>1</v>
      </c>
      <c r="D40">
        <f ca="1">IF($A40=1,0,IF($A40=2,OFFSET(D40,-1,0)+1,OFFSET(D40,-1,0)))</f>
        <v>7</v>
      </c>
      <c r="E40">
        <f ca="1">IF(AND($A40&lt;=2,$A40&lt;&gt;0),0,IF($A40=3,OFFSET(E40,-1,0)+1,OFFSET(E40,-1,0)))</f>
        <v>0</v>
      </c>
      <c r="F40">
        <f ca="1">IF(AND($A40&lt;=3,$A40&lt;&gt;0),0,IF($A40=4,OFFSET(F40,-1,0)+1,OFFSET(F40,-1,0)))</f>
        <v>0</v>
      </c>
      <c r="G40">
        <f ca="1">IF(AND($A40&lt;=4,$A40&lt;&gt;0),0,IF($A40="S",OFFSET(G40,-1,0)+1,OFFSET(G40,-1,0)))</f>
        <v>2</v>
      </c>
      <c r="H40">
        <f ca="1" t="shared" si="7"/>
        <v>0</v>
      </c>
      <c r="I40">
        <f ca="1" t="shared" si="8"/>
        <v>0</v>
      </c>
      <c r="J40" s="394" t="s">
        <v>103</v>
      </c>
      <c r="K40" s="162" t="str">
        <f>IF($A40=0,"-",CONCATENATE(C40&amp;".",IF(AND($A$5&gt;=2,$A40&gt;=2),D40&amp;".",""),IF(AND($A$5&gt;=3,$A40&gt;=3),E40&amp;".",""),IF(AND($A$5&gt;=4,$A40&gt;=4),F40&amp;".",""),IF($A40="S",G40&amp;".","")))</f>
        <v>1.7.2.</v>
      </c>
      <c r="L40" s="395" t="s">
        <v>242</v>
      </c>
      <c r="M40" s="395" t="s">
        <v>289</v>
      </c>
      <c r="N40" s="396" t="s">
        <v>316</v>
      </c>
      <c r="O40" s="397" t="s">
        <v>329</v>
      </c>
      <c r="P40" s="232">
        <f ca="1">OFFSET(PLQ!$E$12,ROW($P40)-ROW(P$12),0)</f>
        <v>45</v>
      </c>
      <c r="Q40" s="228"/>
      <c r="R40" s="231" t="s">
        <v>7</v>
      </c>
      <c r="S40" s="121">
        <f t="shared" si="15"/>
        <v>0</v>
      </c>
      <c r="T40" s="98">
        <f t="shared" si="16"/>
        <v>0</v>
      </c>
      <c r="U40" s="13" t="str">
        <f>IF($J40="","",IF($N40="","DESCRIÇÃO",IF(AND($J40="Serviço",$O40=""),"UNIDADE",IF($T40&lt;=0,"SEM VALOR",IF(AND($Y40&lt;&gt;"",$Q40&gt;$Y40),"ACIMA REF.","")))))</f>
        <v>SEM VALOR</v>
      </c>
      <c r="V40" s="4">
        <f ca="1">IF(OR($A40=0,$A40="S",$A40&gt;CFF!$A$9),"",MAX(V$12:OFFSET(V40,-1,0))+1)</f>
      </c>
      <c r="W40" s="9" t="str">
        <f>IF(AND($J40="Serviço",$M40&lt;&gt;""),IF($L40="",$M40,CONCATENATE($L40,"-",$M40)))</f>
        <v>PMN-CP-004</v>
      </c>
      <c r="X40" s="4">
        <f ca="1" t="shared" si="17"/>
        <v>10</v>
      </c>
      <c r="Y40" s="121">
        <v>385.85</v>
      </c>
      <c r="Z40" s="132">
        <f>ROUND(IF(ISNUMBER(R40),R40,IF(LEFT(R40,3)="BDI",HLOOKUP(R40,DADOS!$T$37:$X$38,2,FALSE),0)),15-11*$X$5)</f>
        <v>0.2231</v>
      </c>
      <c r="AA40" s="4"/>
    </row>
    <row r="41" spans="1:27" ht="12.75">
      <c r="A41">
        <f>CHOOSE(1+LOG(1+2*(J41="Meta")+4*(J41="Nível 2")+8*(J41="Nível 3")+16*(J41="Nível 4")+32*(J41="Serviço"),2),0,1,2,3,4,"S")</f>
        <v>2</v>
      </c>
      <c r="B41">
        <f>IF(OR(A41="S",A41=0),0,IF(ISERROR(I41),H41,SMALL(H41:I41,1)))</f>
        <v>9</v>
      </c>
      <c r="C41">
        <f ca="1">IF($A41=1,OFFSET(C41,-1,0)+1,OFFSET(C41,-1,0))</f>
        <v>1</v>
      </c>
      <c r="D41">
        <f ca="1">IF($A41=1,0,IF($A41=2,OFFSET(D41,-1,0)+1,OFFSET(D41,-1,0)))</f>
        <v>8</v>
      </c>
      <c r="E41">
        <f ca="1">IF(AND($A41&lt;=2,$A41&lt;&gt;0),0,IF($A41=3,OFFSET(E41,-1,0)+1,OFFSET(E41,-1,0)))</f>
        <v>0</v>
      </c>
      <c r="F41">
        <f ca="1">IF(AND($A41&lt;=3,$A41&lt;&gt;0),0,IF($A41=4,OFFSET(F41,-1,0)+1,OFFSET(F41,-1,0)))</f>
        <v>0</v>
      </c>
      <c r="G41">
        <f ca="1">IF(AND($A41&lt;=4,$A41&lt;&gt;0),0,IF($A41="S",OFFSET(G41,-1,0)+1,OFFSET(G41,-1,0)))</f>
        <v>0</v>
      </c>
      <c r="H41">
        <f ca="1" t="shared" si="7"/>
        <v>9</v>
      </c>
      <c r="I41" t="e">
        <f ca="1" t="shared" si="8"/>
        <v>#N/A</v>
      </c>
      <c r="J41" s="394" t="s">
        <v>100</v>
      </c>
      <c r="K41" s="162" t="str">
        <f>IF($A41=0,"-",CONCATENATE(C41&amp;".",IF(AND($A$5&gt;=2,$A41&gt;=2),D41&amp;".",""),IF(AND($A$5&gt;=3,$A41&gt;=3),E41&amp;".",""),IF(AND($A$5&gt;=4,$A41&gt;=4),F41&amp;".",""),IF($A41="S",G41&amp;".","")))</f>
        <v>1.8.</v>
      </c>
      <c r="L41" s="395"/>
      <c r="M41" s="395"/>
      <c r="N41" s="396" t="s">
        <v>240</v>
      </c>
      <c r="O41" s="397" t="s">
        <v>107</v>
      </c>
      <c r="P41" s="232">
        <f ca="1">OFFSET(PLQ!$E$12,ROW($P41)-ROW(P$12),0)</f>
        <v>0</v>
      </c>
      <c r="Q41" s="228"/>
      <c r="R41" s="231" t="s">
        <v>7</v>
      </c>
      <c r="S41" s="121">
        <f>IF($A41="S",IF($Q$10="Preço Unitário (R$)",PO.CustoUnitario,ROUND(PO.CustoUnitario*(1+$Z41),15-13*$X$6)),0)</f>
        <v>0</v>
      </c>
      <c r="T41" s="98">
        <f>IF($A41="S",VTOTAL1,IF($A41=0,0,ROUND(SomaAgrup,15-13*$X$7)))</f>
        <v>0</v>
      </c>
      <c r="U41" s="13" t="str">
        <f>IF($J41="","",IF($N41="","DESCRIÇÃO",IF(AND($J41="Serviço",$O41=""),"UNIDADE",IF($T41&lt;=0,"SEM VALOR",IF(AND($Y41&lt;&gt;"",$Q41&gt;$Y41),"ACIMA REF.","")))))</f>
        <v>SEM VALOR</v>
      </c>
      <c r="V41" s="4">
        <f ca="1">IF(OR($A41=0,$A41="S",$A41&gt;CFF!$A$9),"",MAX(V$12:OFFSET(V41,-1,0))+1)</f>
        <v>9</v>
      </c>
      <c r="W41" s="9" t="b">
        <f>IF(AND($J41="Serviço",$M41&lt;&gt;""),IF($L41="",$M41,CONCATENATE($L41,"-",$M41)))</f>
        <v>0</v>
      </c>
      <c r="X41" s="4" t="str">
        <f ca="1">IF(AND(Fonte&lt;&gt;"",Código&lt;&gt;""),MATCH(Fonte&amp;" "&amp;IF(Fonte="sinapi",SUBSTITUTE(SUBSTITUTE(Código,"/00","/"),"/0","/"),Código),INDIRECT("'[Referência "&amp;DATABASE&amp;".xls]Banco'!$a:$a"),0),"X")</f>
        <v>X</v>
      </c>
      <c r="Y41" s="121">
        <v>0</v>
      </c>
      <c r="Z41" s="132">
        <f>ROUND(IF(ISNUMBER(R41),R41,IF(LEFT(R41,3)="BDI",HLOOKUP(R41,DADOS!$T$37:$X$38,2,FALSE),0)),15-11*$X$5)</f>
        <v>0.2231</v>
      </c>
      <c r="AA41" s="4"/>
    </row>
    <row r="42" spans="1:27" ht="12.75">
      <c r="A42" t="str">
        <f>CHOOSE(1+LOG(1+2*(J42="Meta")+4*(J42="Nível 2")+8*(J42="Nível 3")+16*(J42="Nível 4")+32*(J42="Serviço"),2),0,1,2,3,4,"S")</f>
        <v>S</v>
      </c>
      <c r="B42">
        <f>IF(OR(A42="S",A42=0),0,IF(ISERROR(I42),H42,SMALL(H42:I42,1)))</f>
        <v>0</v>
      </c>
      <c r="C42">
        <f ca="1">IF($A42=1,OFFSET(C42,-1,0)+1,OFFSET(C42,-1,0))</f>
        <v>1</v>
      </c>
      <c r="D42">
        <f ca="1">IF($A42=1,0,IF($A42=2,OFFSET(D42,-1,0)+1,OFFSET(D42,-1,0)))</f>
        <v>8</v>
      </c>
      <c r="E42">
        <f ca="1">IF(AND($A42&lt;=2,$A42&lt;&gt;0),0,IF($A42=3,OFFSET(E42,-1,0)+1,OFFSET(E42,-1,0)))</f>
        <v>0</v>
      </c>
      <c r="F42">
        <f ca="1">IF(AND($A42&lt;=3,$A42&lt;&gt;0),0,IF($A42=4,OFFSET(F42,-1,0)+1,OFFSET(F42,-1,0)))</f>
        <v>0</v>
      </c>
      <c r="G42">
        <f ca="1">IF(AND($A42&lt;=4,$A42&lt;&gt;0),0,IF($A42="S",OFFSET(G42,-1,0)+1,OFFSET(G42,-1,0)))</f>
        <v>1</v>
      </c>
      <c r="H42">
        <f ca="1" t="shared" si="7"/>
        <v>0</v>
      </c>
      <c r="I42">
        <f ca="1" t="shared" si="8"/>
        <v>0</v>
      </c>
      <c r="J42" s="394" t="s">
        <v>103</v>
      </c>
      <c r="K42" s="162" t="str">
        <f>IF($A42=0,"-",CONCATENATE(C42&amp;".",IF(AND($A$5&gt;=2,$A42&gt;=2),D42&amp;".",""),IF(AND($A$5&gt;=3,$A42&gt;=3),E42&amp;".",""),IF(AND($A$5&gt;=4,$A42&gt;=4),F42&amp;".",""),IF($A42="S",G42&amp;".","")))</f>
        <v>1.8.1.</v>
      </c>
      <c r="L42" s="395" t="s">
        <v>261</v>
      </c>
      <c r="M42" s="395" t="s">
        <v>262</v>
      </c>
      <c r="N42" s="396" t="s">
        <v>317</v>
      </c>
      <c r="O42" s="397" t="s">
        <v>330</v>
      </c>
      <c r="P42" s="232">
        <f ca="1">OFFSET(PLQ!$E$12,ROW($P42)-ROW(P$12),0)</f>
        <v>36</v>
      </c>
      <c r="Q42" s="228"/>
      <c r="R42" s="231" t="s">
        <v>7</v>
      </c>
      <c r="S42" s="121">
        <f>IF($A42="S",IF($Q$10="Preço Unitário (R$)",PO.CustoUnitario,ROUND(PO.CustoUnitario*(1+$Z42),15-13*$X$6)),0)</f>
        <v>0</v>
      </c>
      <c r="T42" s="98">
        <f>IF($A42="S",VTOTAL1,IF($A42=0,0,ROUND(SomaAgrup,15-13*$X$7)))</f>
        <v>0</v>
      </c>
      <c r="U42" s="13" t="str">
        <f>IF($J42="","",IF($N42="","DESCRIÇÃO",IF(AND($J42="Serviço",$O42=""),"UNIDADE",IF($T42&lt;=0,"SEM VALOR",IF(AND($Y42&lt;&gt;"",$Q42&gt;$Y42),"ACIMA REF.","")))))</f>
        <v>SEM VALOR</v>
      </c>
      <c r="V42" s="4">
        <f ca="1">IF(OR($A42=0,$A42="S",$A42&gt;CFF!$A$9),"",MAX(V$12:OFFSET(V42,-1,0))+1)</f>
      </c>
      <c r="W42" s="9" t="str">
        <f>IF(AND($J42="Serviço",$M42&lt;&gt;""),IF($L42="",$M42,CONCATENATE($L42,"-",$M42)))</f>
        <v>COTAÇÃO-C010</v>
      </c>
      <c r="X42" s="4">
        <f ca="1">IF(AND(Fonte&lt;&gt;"",Código&lt;&gt;""),MATCH(Fonte&amp;" "&amp;IF(Fonte="sinapi",SUBSTITUTE(SUBSTITUTE(Código,"/00","/"),"/0","/"),Código),INDIRECT("'[Referência "&amp;DATABASE&amp;".xls]Banco'!$a:$a"),0),"X")</f>
        <v>49</v>
      </c>
      <c r="Y42" s="121">
        <v>12.84</v>
      </c>
      <c r="Z42" s="132">
        <f>ROUND(IF(ISNUMBER(R42),R42,IF(LEFT(R42,3)="BDI",HLOOKUP(R42,DADOS!$T$37:$X$38,2,FALSE),0)),15-11*$X$5)</f>
        <v>0.2231</v>
      </c>
      <c r="AA42" s="4"/>
    </row>
    <row r="43" spans="1:27" ht="25.5">
      <c r="A43" t="str">
        <f>CHOOSE(1+LOG(1+2*(J43="Meta")+4*(J43="Nível 2")+8*(J43="Nível 3")+16*(J43="Nível 4")+32*(J43="Serviço"),2),0,1,2,3,4,"S")</f>
        <v>S</v>
      </c>
      <c r="B43">
        <f>IF(OR(A43="S",A43=0),0,IF(ISERROR(I43),H43,SMALL(H43:I43,1)))</f>
        <v>0</v>
      </c>
      <c r="C43">
        <f ca="1">IF($A43=1,OFFSET(C43,-1,0)+1,OFFSET(C43,-1,0))</f>
        <v>1</v>
      </c>
      <c r="D43">
        <f ca="1">IF($A43=1,0,IF($A43=2,OFFSET(D43,-1,0)+1,OFFSET(D43,-1,0)))</f>
        <v>8</v>
      </c>
      <c r="E43">
        <f ca="1">IF(AND($A43&lt;=2,$A43&lt;&gt;0),0,IF($A43=3,OFFSET(E43,-1,0)+1,OFFSET(E43,-1,0)))</f>
        <v>0</v>
      </c>
      <c r="F43">
        <f ca="1">IF(AND($A43&lt;=3,$A43&lt;&gt;0),0,IF($A43=4,OFFSET(F43,-1,0)+1,OFFSET(F43,-1,0)))</f>
        <v>0</v>
      </c>
      <c r="G43">
        <f ca="1">IF(AND($A43&lt;=4,$A43&lt;&gt;0),0,IF($A43="S",OFFSET(G43,-1,0)+1,OFFSET(G43,-1,0)))</f>
        <v>2</v>
      </c>
      <c r="H43">
        <f ca="1" t="shared" si="7"/>
        <v>0</v>
      </c>
      <c r="I43">
        <f ca="1" t="shared" si="8"/>
        <v>0</v>
      </c>
      <c r="J43" s="394" t="s">
        <v>103</v>
      </c>
      <c r="K43" s="162" t="str">
        <f>IF($A43=0,"-",CONCATENATE(C43&amp;".",IF(AND($A$5&gt;=2,$A43&gt;=2),D43&amp;".",""),IF(AND($A$5&gt;=3,$A43&gt;=3),E43&amp;".",""),IF(AND($A$5&gt;=4,$A43&gt;=4),F43&amp;".",""),IF($A43="S",G43&amp;".","")))</f>
        <v>1.8.2.</v>
      </c>
      <c r="L43" s="395" t="s">
        <v>231</v>
      </c>
      <c r="M43" s="395" t="s">
        <v>263</v>
      </c>
      <c r="N43" s="396" t="s">
        <v>318</v>
      </c>
      <c r="O43" s="397" t="s">
        <v>331</v>
      </c>
      <c r="P43" s="232">
        <f ca="1">OFFSET(PLQ!$E$12,ROW($P43)-ROW(P$12),0)</f>
        <v>9.15</v>
      </c>
      <c r="Q43" s="228"/>
      <c r="R43" s="231" t="s">
        <v>7</v>
      </c>
      <c r="S43" s="121">
        <f>IF($A43="S",IF($Q$10="Preço Unitário (R$)",PO.CustoUnitario,ROUND(PO.CustoUnitario*(1+$Z43),15-13*$X$6)),0)</f>
        <v>0</v>
      </c>
      <c r="T43" s="98">
        <f>IF($A43="S",VTOTAL1,IF($A43=0,0,ROUND(SomaAgrup,15-13*$X$7)))</f>
        <v>0</v>
      </c>
      <c r="U43" s="13" t="str">
        <f>IF($J43="","",IF($N43="","DESCRIÇÃO",IF(AND($J43="Serviço",$O43=""),"UNIDADE",IF($T43&lt;=0,"SEM VALOR",IF(AND($Y43&lt;&gt;"",$Q43&gt;$Y43),"ACIMA REF.","")))))</f>
        <v>SEM VALOR</v>
      </c>
      <c r="V43" s="4">
        <f ca="1">IF(OR($A43=0,$A43="S",$A43&gt;CFF!$A$9),"",MAX(V$12:OFFSET(V43,-1,0))+1)</f>
      </c>
      <c r="W43" s="9" t="str">
        <f>IF(AND($J43="Serviço",$M43&lt;&gt;""),IF($L43="",$M43,CONCATENATE($L43,"-",$M43)))</f>
        <v>SINAPI-94991</v>
      </c>
      <c r="X43" s="4">
        <f ca="1">IF(AND(Fonte&lt;&gt;"",Código&lt;&gt;""),MATCH(Fonte&amp;" "&amp;IF(Fonte="sinapi",SUBSTITUTE(SUBSTITUTE(Código,"/00","/"),"/0","/"),Código),INDIRECT("'[Referência "&amp;DATABASE&amp;".xls]Banco'!$a:$a"),0),"X")</f>
        <v>5388</v>
      </c>
      <c r="Y43" s="121">
        <v>521.51</v>
      </c>
      <c r="Z43" s="132">
        <f>ROUND(IF(ISNUMBER(R43),R43,IF(LEFT(R43,3)="BDI",HLOOKUP(R43,DADOS!$T$37:$X$38,2,FALSE),0)),15-11*$X$5)</f>
        <v>0.2231</v>
      </c>
      <c r="AA43" s="4"/>
    </row>
    <row r="44" spans="1:27" ht="25.5">
      <c r="A44" t="str">
        <f>CHOOSE(1+LOG(1+2*(J44="Meta")+4*(J44="Nível 2")+8*(J44="Nível 3")+16*(J44="Nível 4")+32*(J44="Serviço"),2),0,1,2,3,4,"S")</f>
        <v>S</v>
      </c>
      <c r="B44">
        <f>IF(OR(A44="S",A44=0),0,IF(ISERROR(I44),H44,SMALL(H44:I44,1)))</f>
        <v>0</v>
      </c>
      <c r="C44">
        <f ca="1">IF($A44=1,OFFSET(C44,-1,0)+1,OFFSET(C44,-1,0))</f>
        <v>1</v>
      </c>
      <c r="D44">
        <f ca="1">IF($A44=1,0,IF($A44=2,OFFSET(D44,-1,0)+1,OFFSET(D44,-1,0)))</f>
        <v>8</v>
      </c>
      <c r="E44">
        <f ca="1">IF(AND($A44&lt;=2,$A44&lt;&gt;0),0,IF($A44=3,OFFSET(E44,-1,0)+1,OFFSET(E44,-1,0)))</f>
        <v>0</v>
      </c>
      <c r="F44">
        <f ca="1">IF(AND($A44&lt;=3,$A44&lt;&gt;0),0,IF($A44=4,OFFSET(F44,-1,0)+1,OFFSET(F44,-1,0)))</f>
        <v>0</v>
      </c>
      <c r="G44">
        <f ca="1">IF(AND($A44&lt;=4,$A44&lt;&gt;0),0,IF($A44="S",OFFSET(G44,-1,0)+1,OFFSET(G44,-1,0)))</f>
        <v>3</v>
      </c>
      <c r="H44">
        <f ca="1" t="shared" si="7"/>
        <v>0</v>
      </c>
      <c r="I44">
        <f ca="1" t="shared" si="8"/>
        <v>0</v>
      </c>
      <c r="J44" s="394" t="s">
        <v>103</v>
      </c>
      <c r="K44" s="162" t="str">
        <f>IF($A44=0,"-",CONCATENATE(C44&amp;".",IF(AND($A$5&gt;=2,$A44&gt;=2),D44&amp;".",""),IF(AND($A$5&gt;=3,$A44&gt;=3),E44&amp;".",""),IF(AND($A$5&gt;=4,$A44&gt;=4),F44&amp;".",""),IF($A44="S",G44&amp;".","")))</f>
        <v>1.8.3.</v>
      </c>
      <c r="L44" s="395" t="s">
        <v>231</v>
      </c>
      <c r="M44" s="395" t="s">
        <v>264</v>
      </c>
      <c r="N44" s="396" t="s">
        <v>319</v>
      </c>
      <c r="O44" s="397" t="s">
        <v>326</v>
      </c>
      <c r="P44" s="232">
        <f ca="1">OFFSET(PLQ!$E$12,ROW($P44)-ROW(P$12),0)</f>
        <v>12.2</v>
      </c>
      <c r="Q44" s="228"/>
      <c r="R44" s="231" t="s">
        <v>7</v>
      </c>
      <c r="S44" s="121">
        <f>IF($A44="S",IF($Q$10="Preço Unitário (R$)",PO.CustoUnitario,ROUND(PO.CustoUnitario*(1+$Z44),15-13*$X$6)),0)</f>
        <v>0</v>
      </c>
      <c r="T44" s="98">
        <f>IF($A44="S",VTOTAL1,IF($A44=0,0,ROUND(SomaAgrup,15-13*$X$7)))</f>
        <v>0</v>
      </c>
      <c r="U44" s="13" t="str">
        <f>IF($J44="","",IF($N44="","DESCRIÇÃO",IF(AND($J44="Serviço",$O44=""),"UNIDADE",IF($T44&lt;=0,"SEM VALOR",IF(AND($Y44&lt;&gt;"",$Q44&gt;$Y44),"ACIMA REF.","")))))</f>
        <v>SEM VALOR</v>
      </c>
      <c r="V44" s="4">
        <f ca="1">IF(OR($A44=0,$A44="S",$A44&gt;CFF!$A$9),"",MAX(V$12:OFFSET(V44,-1,0))+1)</f>
      </c>
      <c r="W44" s="9" t="str">
        <f>IF(AND($J44="Serviço",$M44&lt;&gt;""),IF($L44="",$M44,CONCATENATE($L44,"-",$M44)))</f>
        <v>SINAPI-72947</v>
      </c>
      <c r="X44" s="4">
        <f ca="1">IF(AND(Fonte&lt;&gt;"",Código&lt;&gt;""),MATCH(Fonte&amp;" "&amp;IF(Fonte="sinapi",SUBSTITUTE(SUBSTITUTE(Código,"/00","/"),"/0","/"),Código),INDIRECT("'[Referência "&amp;DATABASE&amp;".xls]Banco'!$a:$a"),0),"X")</f>
        <v>5205</v>
      </c>
      <c r="Y44" s="121">
        <v>16.77</v>
      </c>
      <c r="Z44" s="132">
        <f>ROUND(IF(ISNUMBER(R44),R44,IF(LEFT(R44,3)="BDI",HLOOKUP(R44,DADOS!$T$37:$X$38,2,FALSE),0)),15-11*$X$5)</f>
        <v>0.2231</v>
      </c>
      <c r="AA44" s="4"/>
    </row>
    <row r="45" spans="1:27" ht="12.75">
      <c r="A45" t="str">
        <f>CHOOSE(1+LOG(1+2*(J45="Meta")+4*(J45="Nível 2")+8*(J45="Nível 3")+16*(J45="Nível 4")+32*(J45="Serviço"),2),0,1,2,3,4,"S")</f>
        <v>S</v>
      </c>
      <c r="B45">
        <f>IF(OR(A45="S",A45=0),0,IF(ISERROR(I45),H45,SMALL(H45:I45,1)))</f>
        <v>0</v>
      </c>
      <c r="C45">
        <f ca="1">IF($A45=1,OFFSET(C45,-1,0)+1,OFFSET(C45,-1,0))</f>
        <v>1</v>
      </c>
      <c r="D45">
        <f ca="1">IF($A45=1,0,IF($A45=2,OFFSET(D45,-1,0)+1,OFFSET(D45,-1,0)))</f>
        <v>8</v>
      </c>
      <c r="E45">
        <f ca="1">IF(AND($A45&lt;=2,$A45&lt;&gt;0),0,IF($A45=3,OFFSET(E45,-1,0)+1,OFFSET(E45,-1,0)))</f>
        <v>0</v>
      </c>
      <c r="F45">
        <f ca="1">IF(AND($A45&lt;=3,$A45&lt;&gt;0),0,IF($A45=4,OFFSET(F45,-1,0)+1,OFFSET(F45,-1,0)))</f>
        <v>0</v>
      </c>
      <c r="G45">
        <f ca="1">IF(AND($A45&lt;=4,$A45&lt;&gt;0),0,IF($A45="S",OFFSET(G45,-1,0)+1,OFFSET(G45,-1,0)))</f>
        <v>4</v>
      </c>
      <c r="H45">
        <f ca="1" t="shared" si="7"/>
        <v>0</v>
      </c>
      <c r="I45">
        <f ca="1" t="shared" si="8"/>
        <v>0</v>
      </c>
      <c r="J45" s="394" t="s">
        <v>103</v>
      </c>
      <c r="K45" s="162" t="str">
        <f>IF($A45=0,"-",CONCATENATE(C45&amp;".",IF(AND($A$5&gt;=2,$A45&gt;=2),D45&amp;".",""),IF(AND($A$5&gt;=3,$A45&gt;=3),E45&amp;".",""),IF(AND($A$5&gt;=4,$A45&gt;=4),F45&amp;".",""),IF($A45="S",G45&amp;".","")))</f>
        <v>1.8.4.</v>
      </c>
      <c r="L45" s="395" t="s">
        <v>236</v>
      </c>
      <c r="M45" s="395" t="s">
        <v>285</v>
      </c>
      <c r="N45" s="396" t="s">
        <v>320</v>
      </c>
      <c r="O45" s="397" t="s">
        <v>325</v>
      </c>
      <c r="P45" s="232">
        <f ca="1">OFFSET(PLQ!$E$12,ROW($P45)-ROW(P$12),0)</f>
        <v>927</v>
      </c>
      <c r="Q45" s="228"/>
      <c r="R45" s="231" t="s">
        <v>7</v>
      </c>
      <c r="S45" s="121">
        <f>IF($A45="S",IF($Q$10="Preço Unitário (R$)",PO.CustoUnitario,ROUND(PO.CustoUnitario*(1+$Z45),15-13*$X$6)),0)</f>
        <v>0</v>
      </c>
      <c r="T45" s="98">
        <f>IF($A45="S",VTOTAL1,IF($A45=0,0,ROUND(SomaAgrup,15-13*$X$7)))</f>
        <v>0</v>
      </c>
      <c r="U45" s="13" t="str">
        <f>IF($J45="","",IF($N45="","DESCRIÇÃO",IF(AND($J45="Serviço",$O45=""),"UNIDADE",IF($T45&lt;=0,"SEM VALOR",IF(AND($Y45&lt;&gt;"",$Q45&gt;$Y45),"ACIMA REF.","")))))</f>
        <v>SEM VALOR</v>
      </c>
      <c r="V45" s="4">
        <f ca="1">IF(OR($A45=0,$A45="S",$A45&gt;CFF!$A$9),"",MAX(V$12:OFFSET(V45,-1,0))+1)</f>
      </c>
      <c r="W45" s="9" t="str">
        <f>IF(AND($J45="Serviço",$M45&lt;&gt;""),IF($L45="",$M45,CONCATENATE($L45,"-",$M45)))</f>
        <v>SINAPI-I-3322</v>
      </c>
      <c r="X45" s="4">
        <f ca="1">IF(AND(Fonte&lt;&gt;"",Código&lt;&gt;""),MATCH(Fonte&amp;" "&amp;IF(Fonte="sinapi",SUBSTITUTE(SUBSTITUTE(Código,"/00","/"),"/0","/"),Código),INDIRECT("'[Referência "&amp;DATABASE&amp;".xls]Banco'!$a:$a"),0),"X")</f>
        <v>8762</v>
      </c>
      <c r="Y45" s="121">
        <v>5.75</v>
      </c>
      <c r="Z45" s="132">
        <f>ROUND(IF(ISNUMBER(R45),R45,IF(LEFT(R45,3)="BDI",HLOOKUP(R45,DADOS!$T$37:$X$38,2,FALSE),0)),15-11*$X$5)</f>
        <v>0.2231</v>
      </c>
      <c r="AA45" s="4"/>
    </row>
    <row r="46" spans="1:27" ht="25.5">
      <c r="A46" t="str">
        <f>CHOOSE(1+LOG(1+2*(J46="Meta")+4*(J46="Nível 2")+8*(J46="Nível 3")+16*(J46="Nível 4")+32*(J46="Serviço"),2),0,1,2,3,4,"S")</f>
        <v>S</v>
      </c>
      <c r="B46">
        <f>IF(OR(A46="S",A46=0),0,IF(ISERROR(I46),H46,SMALL(H46:I46,1)))</f>
        <v>0</v>
      </c>
      <c r="C46">
        <f ca="1">IF($A46=1,OFFSET(C46,-1,0)+1,OFFSET(C46,-1,0))</f>
        <v>1</v>
      </c>
      <c r="D46">
        <f ca="1">IF($A46=1,0,IF($A46=2,OFFSET(D46,-1,0)+1,OFFSET(D46,-1,0)))</f>
        <v>8</v>
      </c>
      <c r="E46">
        <f ca="1">IF(AND($A46&lt;=2,$A46&lt;&gt;0),0,IF($A46=3,OFFSET(E46,-1,0)+1,OFFSET(E46,-1,0)))</f>
        <v>0</v>
      </c>
      <c r="F46">
        <f ca="1">IF(AND($A46&lt;=3,$A46&lt;&gt;0),0,IF($A46=4,OFFSET(F46,-1,0)+1,OFFSET(F46,-1,0)))</f>
        <v>0</v>
      </c>
      <c r="G46">
        <f ca="1">IF(AND($A46&lt;=4,$A46&lt;&gt;0),0,IF($A46="S",OFFSET(G46,-1,0)+1,OFFSET(G46,-1,0)))</f>
        <v>5</v>
      </c>
      <c r="H46">
        <f ca="1" t="shared" si="7"/>
        <v>0</v>
      </c>
      <c r="I46">
        <f ca="1" t="shared" si="8"/>
        <v>0</v>
      </c>
      <c r="J46" s="394" t="s">
        <v>103</v>
      </c>
      <c r="K46" s="162" t="str">
        <f>IF($A46=0,"-",CONCATENATE(C46&amp;".",IF(AND($A$5&gt;=2,$A46&gt;=2),D46&amp;".",""),IF(AND($A$5&gt;=3,$A46&gt;=3),E46&amp;".",""),IF(AND($A$5&gt;=4,$A46&gt;=4),F46&amp;".",""),IF($A46="S",G46&amp;".","")))</f>
        <v>1.8.5.</v>
      </c>
      <c r="L46" s="395" t="s">
        <v>231</v>
      </c>
      <c r="M46" s="395" t="s">
        <v>286</v>
      </c>
      <c r="N46" s="396" t="s">
        <v>321</v>
      </c>
      <c r="O46" s="397" t="s">
        <v>326</v>
      </c>
      <c r="P46" s="232">
        <f ca="1">OFFSET(PLQ!$E$12,ROW($P46)-ROW(P$12),0)</f>
        <v>1273</v>
      </c>
      <c r="Q46" s="228"/>
      <c r="R46" s="231" t="s">
        <v>7</v>
      </c>
      <c r="S46" s="121">
        <f>IF($A46="S",IF($Q$10="Preço Unitário (R$)",PO.CustoUnitario,ROUND(PO.CustoUnitario*(1+$Z46),15-13*$X$6)),0)</f>
        <v>0</v>
      </c>
      <c r="T46" s="98">
        <f>IF($A46="S",VTOTAL1,IF($A46=0,0,ROUND(SomaAgrup,15-13*$X$7)))</f>
        <v>0</v>
      </c>
      <c r="U46" s="13" t="str">
        <f>IF($J46="","",IF($N46="","DESCRIÇÃO",IF(AND($J46="Serviço",$O46=""),"UNIDADE",IF($T46&lt;=0,"SEM VALOR",IF(AND($Y46&lt;&gt;"",$Q46&gt;$Y46),"ACIMA REF.","")))))</f>
        <v>SEM VALOR</v>
      </c>
      <c r="V46" s="4">
        <f ca="1">IF(OR($A46=0,$A46="S",$A46&gt;CFF!$A$9),"",MAX(V$12:OFFSET(V46,-1,0))+1)</f>
      </c>
      <c r="W46" s="9" t="str">
        <f>IF(AND($J46="Serviço",$M46&lt;&gt;""),IF($L46="",$M46,CONCATENATE($L46,"-",$M46)))</f>
        <v>SINAPI-97636</v>
      </c>
      <c r="X46" s="4">
        <f ca="1">IF(AND(Fonte&lt;&gt;"",Código&lt;&gt;""),MATCH(Fonte&amp;" "&amp;IF(Fonte="sinapi",SUBSTITUTE(SUBSTITUTE(Código,"/00","/"),"/0","/"),Código),INDIRECT("'[Referência "&amp;DATABASE&amp;".xls]Banco'!$a:$a"),0),"X")</f>
        <v>5990</v>
      </c>
      <c r="Y46" s="121">
        <v>11.88</v>
      </c>
      <c r="Z46" s="132">
        <f>ROUND(IF(ISNUMBER(R46),R46,IF(LEFT(R46,3)="BDI",HLOOKUP(R46,DADOS!$T$37:$X$38,2,FALSE),0)),15-11*$X$5)</f>
        <v>0.2231</v>
      </c>
      <c r="AA46" s="4"/>
    </row>
    <row r="47" spans="1:27" ht="25.5">
      <c r="A47" t="str">
        <f>CHOOSE(1+LOG(1+2*(J47="Meta")+4*(J47="Nível 2")+8*(J47="Nível 3")+16*(J47="Nível 4")+32*(J47="Serviço"),2),0,1,2,3,4,"S")</f>
        <v>S</v>
      </c>
      <c r="B47">
        <f>IF(OR(A47="S",A47=0),0,IF(ISERROR(I47),H47,SMALL(H47:I47,1)))</f>
        <v>0</v>
      </c>
      <c r="C47">
        <f ca="1">IF($A47=1,OFFSET(C47,-1,0)+1,OFFSET(C47,-1,0))</f>
        <v>1</v>
      </c>
      <c r="D47">
        <f ca="1">IF($A47=1,0,IF($A47=2,OFFSET(D47,-1,0)+1,OFFSET(D47,-1,0)))</f>
        <v>8</v>
      </c>
      <c r="E47">
        <f ca="1">IF(AND($A47&lt;=2,$A47&lt;&gt;0),0,IF($A47=3,OFFSET(E47,-1,0)+1,OFFSET(E47,-1,0)))</f>
        <v>0</v>
      </c>
      <c r="F47">
        <f ca="1">IF(AND($A47&lt;=3,$A47&lt;&gt;0),0,IF($A47=4,OFFSET(F47,-1,0)+1,OFFSET(F47,-1,0)))</f>
        <v>0</v>
      </c>
      <c r="G47">
        <f ca="1">IF(AND($A47&lt;=4,$A47&lt;&gt;0),0,IF($A47="S",OFFSET(G47,-1,0)+1,OFFSET(G47,-1,0)))</f>
        <v>6</v>
      </c>
      <c r="H47">
        <f ca="1" t="shared" si="7"/>
        <v>0</v>
      </c>
      <c r="I47">
        <f ca="1" t="shared" si="8"/>
        <v>0</v>
      </c>
      <c r="J47" s="394" t="s">
        <v>103</v>
      </c>
      <c r="K47" s="162" t="str">
        <f>IF($A47=0,"-",CONCATENATE(C47&amp;".",IF(AND($A$5&gt;=2,$A47&gt;=2),D47&amp;".",""),IF(AND($A$5&gt;=3,$A47&gt;=3),E47&amp;".",""),IF(AND($A$5&gt;=4,$A47&gt;=4),F47&amp;".",""),IF($A47="S",G47&amp;".","")))</f>
        <v>1.8.6.</v>
      </c>
      <c r="L47" s="395" t="s">
        <v>231</v>
      </c>
      <c r="M47" s="395" t="s">
        <v>290</v>
      </c>
      <c r="N47" s="396" t="s">
        <v>322</v>
      </c>
      <c r="O47" s="397" t="s">
        <v>327</v>
      </c>
      <c r="P47" s="232">
        <f ca="1">OFFSET(PLQ!$E$12,ROW($P47)-ROW(P$12),0)</f>
        <v>100</v>
      </c>
      <c r="Q47" s="228"/>
      <c r="R47" s="231" t="s">
        <v>7</v>
      </c>
      <c r="S47" s="121">
        <f>IF($A47="S",IF($Q$10="Preço Unitário (R$)",PO.CustoUnitario,ROUND(PO.CustoUnitario*(1+$Z47),15-13*$X$6)),0)</f>
        <v>0</v>
      </c>
      <c r="T47" s="98">
        <f>IF($A47="S",VTOTAL1,IF($A47=0,0,ROUND(SomaAgrup,15-13*$X$7)))</f>
        <v>0</v>
      </c>
      <c r="U47" s="13" t="str">
        <f>IF($J47="","",IF($N47="","DESCRIÇÃO",IF(AND($J47="Serviço",$O47=""),"UNIDADE",IF($T47&lt;=0,"SEM VALOR",IF(AND($Y47&lt;&gt;"",$Q47&gt;$Y47),"ACIMA REF.","")))))</f>
        <v>SEM VALOR</v>
      </c>
      <c r="V47" s="4">
        <f ca="1">IF(OR($A47=0,$A47="S",$A47&gt;CFF!$A$9),"",MAX(V$12:OFFSET(V47,-1,0))+1)</f>
      </c>
      <c r="W47" s="9" t="str">
        <f>IF(AND($J47="Serviço",$M47&lt;&gt;""),IF($L47="",$M47,CONCATENATE($L47,"-",$M47)))</f>
        <v>SINAPI-94264</v>
      </c>
      <c r="X47" s="4">
        <f ca="1">IF(AND(Fonte&lt;&gt;"",Código&lt;&gt;""),MATCH(Fonte&amp;" "&amp;IF(Fonte="sinapi",SUBSTITUTE(SUBSTITUTE(Código,"/00","/"),"/0","/"),Código),INDIRECT("'[Referência "&amp;DATABASE&amp;".xls]Banco'!$a:$a"),0),"X")</f>
        <v>1652</v>
      </c>
      <c r="Y47" s="121">
        <v>30.64</v>
      </c>
      <c r="Z47" s="132">
        <f>ROUND(IF(ISNUMBER(R47),R47,IF(LEFT(R47,3)="BDI",HLOOKUP(R47,DADOS!$T$37:$X$38,2,FALSE),0)),15-11*$X$5)</f>
        <v>0.2231</v>
      </c>
      <c r="AA47" s="4"/>
    </row>
    <row r="48" spans="1:27" ht="25.5">
      <c r="A48" t="str">
        <f>CHOOSE(1+LOG(1+2*(J48="Meta")+4*(J48="Nível 2")+8*(J48="Nível 3")+16*(J48="Nível 4")+32*(J48="Serviço"),2),0,1,2,3,4,"S")</f>
        <v>S</v>
      </c>
      <c r="B48">
        <f>IF(OR(A48="S",A48=0),0,IF(ISERROR(I48),H48,SMALL(H48:I48,1)))</f>
        <v>0</v>
      </c>
      <c r="C48">
        <f ca="1">IF($A48=1,OFFSET(C48,-1,0)+1,OFFSET(C48,-1,0))</f>
        <v>1</v>
      </c>
      <c r="D48">
        <f ca="1">IF($A48=1,0,IF($A48=2,OFFSET(D48,-1,0)+1,OFFSET(D48,-1,0)))</f>
        <v>8</v>
      </c>
      <c r="E48">
        <f ca="1">IF(AND($A48&lt;=2,$A48&lt;&gt;0),0,IF($A48=3,OFFSET(E48,-1,0)+1,OFFSET(E48,-1,0)))</f>
        <v>0</v>
      </c>
      <c r="F48">
        <f ca="1">IF(AND($A48&lt;=3,$A48&lt;&gt;0),0,IF($A48=4,OFFSET(F48,-1,0)+1,OFFSET(F48,-1,0)))</f>
        <v>0</v>
      </c>
      <c r="G48">
        <f ca="1">IF(AND($A48&lt;=4,$A48&lt;&gt;0),0,IF($A48="S",OFFSET(G48,-1,0)+1,OFFSET(G48,-1,0)))</f>
        <v>7</v>
      </c>
      <c r="H48">
        <f ca="1" t="shared" si="7"/>
        <v>0</v>
      </c>
      <c r="I48">
        <f ca="1" t="shared" si="8"/>
        <v>0</v>
      </c>
      <c r="J48" s="394" t="s">
        <v>103</v>
      </c>
      <c r="K48" s="162" t="str">
        <f>IF($A48=0,"-",CONCATENATE(C48&amp;".",IF(AND($A$5&gt;=2,$A48&gt;=2),D48&amp;".",""),IF(AND($A$5&gt;=3,$A48&gt;=3),E48&amp;".",""),IF(AND($A$5&gt;=4,$A48&gt;=4),F48&amp;".",""),IF($A48="S",G48&amp;".","")))</f>
        <v>1.8.7.</v>
      </c>
      <c r="L48" s="395" t="s">
        <v>231</v>
      </c>
      <c r="M48" s="395" t="s">
        <v>291</v>
      </c>
      <c r="N48" s="396" t="s">
        <v>323</v>
      </c>
      <c r="O48" s="397" t="s">
        <v>327</v>
      </c>
      <c r="P48" s="232">
        <f ca="1">OFFSET(PLQ!$E$12,ROW($P48)-ROW(P$12),0)</f>
        <v>75</v>
      </c>
      <c r="Q48" s="228"/>
      <c r="R48" s="231" t="s">
        <v>7</v>
      </c>
      <c r="S48" s="121">
        <f>IF($A48="S",IF($Q$10="Preço Unitário (R$)",PO.CustoUnitario,ROUND(PO.CustoUnitario*(1+$Z48),15-13*$X$6)),0)</f>
        <v>0</v>
      </c>
      <c r="T48" s="98">
        <f>IF($A48="S",VTOTAL1,IF($A48=0,0,ROUND(SomaAgrup,15-13*$X$7)))</f>
        <v>0</v>
      </c>
      <c r="U48" s="13" t="str">
        <f>IF($J48="","",IF($N48="","DESCRIÇÃO",IF(AND($J48="Serviço",$O48=""),"UNIDADE",IF($T48&lt;=0,"SEM VALOR",IF(AND($Y48&lt;&gt;"",$Q48&gt;$Y48),"ACIMA REF.","")))))</f>
        <v>SEM VALOR</v>
      </c>
      <c r="V48" s="4">
        <f ca="1">IF(OR($A48=0,$A48="S",$A48&gt;CFF!$A$9),"",MAX(V$12:OFFSET(V48,-1,0))+1)</f>
      </c>
      <c r="W48" s="9" t="str">
        <f>IF(AND($J48="Serviço",$M48&lt;&gt;""),IF($L48="",$M48,CONCATENATE($L48,"-",$M48)))</f>
        <v>SINAPI-94293</v>
      </c>
      <c r="X48" s="4">
        <f ca="1">IF(AND(Fonte&lt;&gt;"",Código&lt;&gt;""),MATCH(Fonte&amp;" "&amp;IF(Fonte="sinapi",SUBSTITUTE(SUBSTITUTE(Código,"/00","/"),"/0","/"),Código),INDIRECT("'[Referência "&amp;DATABASE&amp;".xls]Banco'!$a:$a"),0),"X")</f>
        <v>1677</v>
      </c>
      <c r="Y48" s="121">
        <v>123.04</v>
      </c>
      <c r="Z48" s="132">
        <f>ROUND(IF(ISNUMBER(R48),R48,IF(LEFT(R48,3)="BDI",HLOOKUP(R48,DADOS!$T$37:$X$38,2,FALSE),0)),15-11*$X$5)</f>
        <v>0.2231</v>
      </c>
      <c r="AA48" s="4"/>
    </row>
    <row r="49" spans="1:27" ht="25.5">
      <c r="A49" t="str">
        <f>CHOOSE(1+LOG(1+2*(J49="Meta")+4*(J49="Nível 2")+8*(J49="Nível 3")+16*(J49="Nível 4")+32*(J49="Serviço"),2),0,1,2,3,4,"S")</f>
        <v>S</v>
      </c>
      <c r="B49">
        <f>IF(OR(A49="S",A49=0),0,IF(ISERROR(I49),H49,SMALL(H49:I49,1)))</f>
        <v>0</v>
      </c>
      <c r="C49">
        <f ca="1">IF($A49=1,OFFSET(C49,-1,0)+1,OFFSET(C49,-1,0))</f>
        <v>1</v>
      </c>
      <c r="D49">
        <f ca="1">IF($A49=1,0,IF($A49=2,OFFSET(D49,-1,0)+1,OFFSET(D49,-1,0)))</f>
        <v>8</v>
      </c>
      <c r="E49">
        <f ca="1">IF(AND($A49&lt;=2,$A49&lt;&gt;0),0,IF($A49=3,OFFSET(E49,-1,0)+1,OFFSET(E49,-1,0)))</f>
        <v>0</v>
      </c>
      <c r="F49">
        <f ca="1">IF(AND($A49&lt;=3,$A49&lt;&gt;0),0,IF($A49=4,OFFSET(F49,-1,0)+1,OFFSET(F49,-1,0)))</f>
        <v>0</v>
      </c>
      <c r="G49">
        <f ca="1">IF(AND($A49&lt;=4,$A49&lt;&gt;0),0,IF($A49="S",OFFSET(G49,-1,0)+1,OFFSET(G49,-1,0)))</f>
        <v>8</v>
      </c>
      <c r="H49">
        <f ca="1" t="shared" si="7"/>
        <v>0</v>
      </c>
      <c r="I49">
        <f ca="1" t="shared" si="8"/>
        <v>0</v>
      </c>
      <c r="J49" s="394" t="s">
        <v>103</v>
      </c>
      <c r="K49" s="162" t="str">
        <f>IF($A49=0,"-",CONCATENATE(C49&amp;".",IF(AND($A$5&gt;=2,$A49&gt;=2),D49&amp;".",""),IF(AND($A$5&gt;=3,$A49&gt;=3),E49&amp;".",""),IF(AND($A$5&gt;=4,$A49&gt;=4),F49&amp;".",""),IF($A49="S",G49&amp;".","")))</f>
        <v>1.8.8.</v>
      </c>
      <c r="L49" s="395" t="s">
        <v>231</v>
      </c>
      <c r="M49" s="395" t="s">
        <v>292</v>
      </c>
      <c r="N49" s="396" t="s">
        <v>324</v>
      </c>
      <c r="O49" s="397" t="s">
        <v>332</v>
      </c>
      <c r="P49" s="232">
        <f ca="1">OFFSET(PLQ!$E$12,ROW($P49)-ROW(P$12),0)</f>
        <v>2</v>
      </c>
      <c r="Q49" s="228"/>
      <c r="R49" s="231" t="s">
        <v>7</v>
      </c>
      <c r="S49" s="121">
        <f>IF($A49="S",IF($Q$10="Preço Unitário (R$)",PO.CustoUnitario,ROUND(PO.CustoUnitario*(1+$Z49),15-13*$X$6)),0)</f>
        <v>0</v>
      </c>
      <c r="T49" s="98">
        <f>IF($A49="S",VTOTAL1,IF($A49=0,0,ROUND(SomaAgrup,15-13*$X$7)))</f>
        <v>0</v>
      </c>
      <c r="U49" s="13" t="str">
        <f>IF($J49="","",IF($N49="","DESCRIÇÃO",IF(AND($J49="Serviço",$O49=""),"UNIDADE",IF($T49&lt;=0,"SEM VALOR",IF(AND($Y49&lt;&gt;"",$Q49&gt;$Y49),"ACIMA REF.","")))))</f>
        <v>SEM VALOR</v>
      </c>
      <c r="V49" s="4">
        <f ca="1">IF(OR($A49=0,$A49="S",$A49&gt;CFF!$A$9),"",MAX(V$12:OFFSET(V49,-1,0))+1)</f>
      </c>
      <c r="W49" s="9" t="str">
        <f>IF(AND($J49="Serviço",$M49&lt;&gt;""),IF($L49="",$M49,CONCATENATE($L49,"-",$M49)))</f>
        <v>SINAPI-73856/3</v>
      </c>
      <c r="X49" s="4">
        <f ca="1">IF(AND(Fonte&lt;&gt;"",Código&lt;&gt;""),MATCH(Fonte&amp;" "&amp;IF(Fonte="sinapi",SUBSTITUTE(SUBSTITUTE(Código,"/00","/"),"/0","/"),Código),INDIRECT("'[Referência "&amp;DATABASE&amp;".xls]Banco'!$a:$a"),0),"X")</f>
        <v>1470</v>
      </c>
      <c r="Y49" s="121">
        <v>1580.22</v>
      </c>
      <c r="Z49" s="132">
        <f>ROUND(IF(ISNUMBER(R49),R49,IF(LEFT(R49,3)="BDI",HLOOKUP(R49,DADOS!$T$37:$X$38,2,FALSE),0)),15-11*$X$5)</f>
        <v>0.2231</v>
      </c>
      <c r="AA49" s="4"/>
    </row>
    <row r="50" spans="1:27" ht="12.75">
      <c r="A50">
        <v>-1</v>
      </c>
      <c r="C50">
        <v>0</v>
      </c>
      <c r="D50">
        <v>0</v>
      </c>
      <c r="E50">
        <v>0</v>
      </c>
      <c r="F50">
        <v>0</v>
      </c>
      <c r="G50">
        <v>0</v>
      </c>
      <c r="J50" s="83"/>
      <c r="K50" s="83"/>
      <c r="L50" s="83"/>
      <c r="M50" s="83"/>
      <c r="N50" s="83"/>
      <c r="O50" s="83"/>
      <c r="P50" s="83"/>
      <c r="Q50" s="83"/>
      <c r="R50" s="83"/>
      <c r="S50" s="83"/>
      <c r="T50" s="83"/>
      <c r="U50" s="4"/>
      <c r="V50" s="4"/>
      <c r="W50" s="4"/>
      <c r="X50" s="4"/>
      <c r="Y50" s="4"/>
      <c r="Z50" s="4"/>
      <c r="AA50" s="4"/>
    </row>
    <row r="51" spans="1:27" ht="14.25">
      <c r="A51" s="4"/>
      <c r="B51" s="4"/>
      <c r="C51" s="4"/>
      <c r="D51" s="4"/>
      <c r="E51" s="4"/>
      <c r="F51" s="4"/>
      <c r="G51" s="4"/>
      <c r="H51" s="4"/>
      <c r="I51" s="4"/>
      <c r="J51" s="4"/>
      <c r="K51" s="84" t="s">
        <v>62</v>
      </c>
      <c r="L51" s="4"/>
      <c r="M51" s="366" t="s">
        <v>142</v>
      </c>
      <c r="N51" s="367"/>
      <c r="O51" s="367"/>
      <c r="P51" s="367"/>
      <c r="Q51" s="367"/>
      <c r="R51" s="367"/>
      <c r="S51" s="367"/>
      <c r="T51" s="368"/>
      <c r="U51" s="4"/>
      <c r="V51" s="4"/>
      <c r="W51" s="4"/>
      <c r="X51" s="4"/>
      <c r="Y51" s="4"/>
      <c r="Z51" s="4"/>
      <c r="AA51" s="4"/>
    </row>
    <row r="52" spans="1:27" ht="12.75">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4.25">
      <c r="A53" s="4"/>
      <c r="B53" s="4"/>
      <c r="C53" s="4"/>
      <c r="D53" s="4"/>
      <c r="E53" s="4"/>
      <c r="F53" s="4"/>
      <c r="G53" s="4"/>
      <c r="H53" s="4"/>
      <c r="I53" s="4"/>
      <c r="J53" s="4"/>
      <c r="K53" s="90" t="s">
        <v>21</v>
      </c>
      <c r="L53" s="20"/>
      <c r="M53" s="20"/>
      <c r="N53" s="20"/>
      <c r="O53" s="20"/>
      <c r="P53" s="20"/>
      <c r="Q53" s="20"/>
      <c r="R53" s="20"/>
      <c r="S53" s="20"/>
      <c r="T53" s="89"/>
      <c r="U53" s="4"/>
      <c r="V53" s="4"/>
      <c r="W53" s="4"/>
      <c r="X53" s="4"/>
      <c r="Y53" s="4"/>
      <c r="Z53" s="4"/>
      <c r="AA53" s="4"/>
    </row>
    <row r="54" spans="1:27" ht="12.75" customHeight="1">
      <c r="A54" s="4"/>
      <c r="B54" s="4"/>
      <c r="C54" s="4"/>
      <c r="D54" s="4"/>
      <c r="E54" s="4"/>
      <c r="F54" s="4"/>
      <c r="G54" s="4"/>
      <c r="H54" s="4"/>
      <c r="I54" s="4"/>
      <c r="J54" s="4"/>
      <c r="K54" s="360"/>
      <c r="L54" s="361"/>
      <c r="M54" s="361"/>
      <c r="N54" s="361"/>
      <c r="O54" s="361"/>
      <c r="P54" s="361"/>
      <c r="Q54" s="361"/>
      <c r="R54" s="361"/>
      <c r="S54" s="361"/>
      <c r="T54" s="362"/>
      <c r="U54" s="4"/>
      <c r="V54" s="4"/>
      <c r="W54" s="4"/>
      <c r="X54" s="4"/>
      <c r="Y54" s="4"/>
      <c r="Z54" s="4"/>
      <c r="AA54" s="4"/>
    </row>
    <row r="55" spans="1:27" ht="12.75">
      <c r="A55" s="4"/>
      <c r="B55" s="4"/>
      <c r="C55" s="4"/>
      <c r="D55" s="4"/>
      <c r="E55" s="4"/>
      <c r="F55" s="4"/>
      <c r="G55" s="4"/>
      <c r="H55" s="4"/>
      <c r="I55" s="4"/>
      <c r="J55" s="4"/>
      <c r="K55" s="360"/>
      <c r="L55" s="361"/>
      <c r="M55" s="361"/>
      <c r="N55" s="361"/>
      <c r="O55" s="361"/>
      <c r="P55" s="361"/>
      <c r="Q55" s="361"/>
      <c r="R55" s="361"/>
      <c r="S55" s="361"/>
      <c r="T55" s="362"/>
      <c r="U55" s="4"/>
      <c r="V55" s="4"/>
      <c r="W55" s="4"/>
      <c r="X55" s="4"/>
      <c r="Y55" s="4"/>
      <c r="Z55" s="4"/>
      <c r="AA55" s="4"/>
    </row>
    <row r="56" spans="1:27" ht="12.75">
      <c r="A56" s="4"/>
      <c r="B56" s="4"/>
      <c r="C56" s="4"/>
      <c r="D56" s="4"/>
      <c r="E56" s="4"/>
      <c r="F56" s="4"/>
      <c r="G56" s="4"/>
      <c r="H56" s="4"/>
      <c r="I56" s="4"/>
      <c r="J56" s="4"/>
      <c r="K56" s="363"/>
      <c r="L56" s="364"/>
      <c r="M56" s="364"/>
      <c r="N56" s="364"/>
      <c r="O56" s="364"/>
      <c r="P56" s="364"/>
      <c r="Q56" s="364"/>
      <c r="R56" s="364"/>
      <c r="S56" s="364"/>
      <c r="T56" s="365"/>
      <c r="U56" s="4"/>
      <c r="V56" s="4"/>
      <c r="W56" s="4"/>
      <c r="X56" s="4"/>
      <c r="Y56" s="4"/>
      <c r="Z56" s="4"/>
      <c r="AA56" s="4"/>
    </row>
    <row r="57" spans="1:27" ht="14.25">
      <c r="A57" s="4"/>
      <c r="B57" s="4"/>
      <c r="C57" s="4"/>
      <c r="D57" s="4"/>
      <c r="E57" s="4"/>
      <c r="F57" s="4"/>
      <c r="G57" s="4"/>
      <c r="H57" s="4"/>
      <c r="I57" s="4"/>
      <c r="J57" s="4"/>
      <c r="K57" s="213"/>
      <c r="L57" s="213"/>
      <c r="M57" s="213"/>
      <c r="N57" s="213"/>
      <c r="O57" s="213"/>
      <c r="P57" s="213"/>
      <c r="Q57" s="213"/>
      <c r="R57" s="213"/>
      <c r="S57" s="213"/>
      <c r="T57" s="213"/>
      <c r="U57" s="4"/>
      <c r="V57" s="4"/>
      <c r="W57" s="4"/>
      <c r="X57" s="4"/>
      <c r="Y57" s="4"/>
      <c r="Z57" s="4"/>
      <c r="AA57" s="4"/>
    </row>
    <row r="58" spans="1:27" ht="15">
      <c r="A58" s="4"/>
      <c r="B58" s="4"/>
      <c r="C58" s="4"/>
      <c r="D58" s="4"/>
      <c r="E58" s="4"/>
      <c r="F58" s="4"/>
      <c r="G58" s="4"/>
      <c r="H58" s="4"/>
      <c r="I58" s="4"/>
      <c r="J58" s="4"/>
      <c r="K58" s="357"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58" s="358"/>
      <c r="M58" s="358"/>
      <c r="N58" s="358"/>
      <c r="O58" s="358"/>
      <c r="P58" s="358"/>
      <c r="Q58" s="358"/>
      <c r="R58" s="358"/>
      <c r="S58" s="358"/>
      <c r="T58" s="359"/>
      <c r="U58" s="4"/>
      <c r="V58" s="4"/>
      <c r="W58" s="4"/>
      <c r="X58" s="4"/>
      <c r="Y58" s="4"/>
      <c r="Z58" s="4"/>
      <c r="AA58" s="4"/>
    </row>
    <row r="59" spans="1:27" ht="12.75">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21"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75">
      <c r="A61" s="4"/>
      <c r="B61" s="4"/>
      <c r="C61" s="4"/>
      <c r="D61" s="4"/>
      <c r="E61" s="4"/>
      <c r="F61" s="4"/>
      <c r="G61" s="4"/>
      <c r="H61" s="4"/>
      <c r="I61" s="4"/>
      <c r="J61" s="4"/>
      <c r="K61" s="370" t="str">
        <f>Import.Município</f>
        <v>NAVIRAÍ - MS</v>
      </c>
      <c r="L61" s="370"/>
      <c r="M61" s="370"/>
      <c r="N61" s="4"/>
      <c r="O61" s="4"/>
      <c r="P61" s="4"/>
      <c r="Q61" s="4"/>
      <c r="R61" s="4"/>
      <c r="S61" s="4"/>
      <c r="T61" s="4"/>
      <c r="U61" s="4"/>
      <c r="V61" s="4"/>
      <c r="W61" s="4"/>
      <c r="X61" s="4"/>
      <c r="Y61" s="4"/>
      <c r="Z61" s="4"/>
      <c r="AA61" s="4"/>
    </row>
    <row r="62" spans="1:27" ht="12.75">
      <c r="A62" s="4"/>
      <c r="B62" s="4"/>
      <c r="C62" s="4"/>
      <c r="D62" s="4"/>
      <c r="E62" s="4"/>
      <c r="F62" s="4"/>
      <c r="G62" s="4"/>
      <c r="H62" s="4"/>
      <c r="I62" s="4"/>
      <c r="J62" s="4"/>
      <c r="K62" s="112" t="s">
        <v>121</v>
      </c>
      <c r="L62" s="4"/>
      <c r="M62" s="4"/>
      <c r="N62" s="4"/>
      <c r="O62" s="4"/>
      <c r="P62" s="4"/>
      <c r="Q62" s="4"/>
      <c r="R62" s="4"/>
      <c r="S62" s="4"/>
      <c r="T62" s="4"/>
      <c r="U62" s="4"/>
      <c r="V62" s="4"/>
      <c r="W62" s="4"/>
      <c r="X62" s="4"/>
      <c r="Y62" s="4"/>
      <c r="Z62" s="4"/>
      <c r="AA62" s="4"/>
    </row>
    <row r="63" spans="1:27" ht="12.75">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75">
      <c r="A64" s="4"/>
      <c r="B64" s="4"/>
      <c r="C64" s="4"/>
      <c r="D64" s="4"/>
      <c r="E64" s="4"/>
      <c r="F64" s="4"/>
      <c r="G64" s="4"/>
      <c r="H64" s="4"/>
      <c r="I64" s="4"/>
      <c r="J64" s="4"/>
      <c r="K64" s="369">
        <f ca="1">TODAY()</f>
        <v>43979</v>
      </c>
      <c r="L64" s="369"/>
      <c r="M64" s="369"/>
      <c r="N64" s="4"/>
      <c r="O64" s="4"/>
      <c r="P64" s="4"/>
      <c r="Q64" s="4"/>
      <c r="R64" s="4"/>
      <c r="S64" s="4"/>
      <c r="T64" s="4"/>
      <c r="U64" s="4"/>
      <c r="V64" s="4"/>
      <c r="W64" s="4"/>
      <c r="X64" s="4"/>
      <c r="Y64" s="4"/>
      <c r="Z64" s="4"/>
      <c r="AA64" s="4"/>
    </row>
    <row r="65" spans="1:27" ht="12.75">
      <c r="A65" s="4"/>
      <c r="B65" s="4"/>
      <c r="C65" s="4"/>
      <c r="D65" s="4"/>
      <c r="E65" s="4"/>
      <c r="F65" s="4"/>
      <c r="G65" s="4"/>
      <c r="H65" s="4"/>
      <c r="I65" s="4"/>
      <c r="J65" s="4"/>
      <c r="K65" s="141" t="s">
        <v>122</v>
      </c>
      <c r="L65" s="83"/>
      <c r="M65" s="83"/>
      <c r="N65" s="4"/>
      <c r="O65" s="4"/>
      <c r="P65" s="4"/>
      <c r="Q65" s="4"/>
      <c r="R65" s="4"/>
      <c r="S65" s="4"/>
      <c r="T65" s="4"/>
      <c r="U65" s="4"/>
      <c r="V65" s="4"/>
      <c r="W65" s="4"/>
      <c r="X65" s="4"/>
      <c r="Y65" s="4"/>
      <c r="Z65" s="4"/>
      <c r="AA65" s="4"/>
    </row>
  </sheetData>
  <sheetProtection password="C95B" sheet="1" objects="1" scenarios="1"/>
  <mergeCells count="6">
    <mergeCell ref="W2:X2"/>
    <mergeCell ref="K58:T58"/>
    <mergeCell ref="K54:T56"/>
    <mergeCell ref="M51:T51"/>
    <mergeCell ref="K64:M64"/>
    <mergeCell ref="K61:M61"/>
  </mergeCells>
  <conditionalFormatting sqref="O12:R12 L12:M12">
    <cfRule type="expression" priority="7255" dxfId="402" stopIfTrue="1">
      <formula>$J12=$C$2</formula>
    </cfRule>
    <cfRule type="expression" priority="7256" dxfId="401" stopIfTrue="1">
      <formula>UPPER(LEFT($J12,5))="NÍVEL"</formula>
    </cfRule>
    <cfRule type="expression" priority="7257" dxfId="403" stopIfTrue="1">
      <formula>$J12=$C$8</formula>
    </cfRule>
  </conditionalFormatting>
  <conditionalFormatting sqref="Y12:Z12 S12:T12 K12">
    <cfRule type="expression" priority="7258" dxfId="402" stopIfTrue="1">
      <formula>$J12=$C$2</formula>
    </cfRule>
    <cfRule type="expression" priority="7259" dxfId="401" stopIfTrue="1">
      <formula>UPPER(LEFT($J12,5))="NÍVEL"</formula>
    </cfRule>
  </conditionalFormatting>
  <conditionalFormatting sqref="K11 K13:K14 K17 K20:K49">
    <cfRule type="expression" priority="7271" dxfId="429" stopIfTrue="1">
      <formula>$J11=$C$2</formula>
    </cfRule>
    <cfRule type="expression" priority="7272" dxfId="103" stopIfTrue="1">
      <formula>AND($J11&lt;&gt;"",$J11&lt;&gt;"Serviço")</formula>
    </cfRule>
    <cfRule type="expression" priority="7273" dxfId="102" stopIfTrue="1">
      <formula>$J11=""</formula>
    </cfRule>
  </conditionalFormatting>
  <conditionalFormatting sqref="P11 P13:P14 P17 P20:P49">
    <cfRule type="expression" priority="5598" dxfId="430" stopIfTrue="1">
      <formula>$J11=$C$2</formula>
    </cfRule>
    <cfRule type="expression" priority="7277" dxfId="107" stopIfTrue="1">
      <formula>AND($J11&lt;&gt;"Serviço")</formula>
    </cfRule>
    <cfRule type="expression" priority="7278" dxfId="310" stopIfTrue="1">
      <formula>CELL("proteger",P11)</formula>
    </cfRule>
  </conditionalFormatting>
  <conditionalFormatting sqref="Q11:R11 Q13:R14 R17 Q15:Q19 Q20:R49">
    <cfRule type="expression" priority="7279" dxfId="431" stopIfTrue="1">
      <formula>$J11=$C$2</formula>
    </cfRule>
    <cfRule type="expression" priority="7280" dxfId="102" stopIfTrue="1">
      <formula>$J11&lt;&gt;"Serviço"</formula>
    </cfRule>
    <cfRule type="expression" priority="7281" dxfId="123" stopIfTrue="1">
      <formula>CELL("proteger",Q11)</formula>
    </cfRule>
  </conditionalFormatting>
  <conditionalFormatting sqref="S11:T11 Y11:Z11 S13:T14 Y13:Z14 S17:T17 Y17:Z17 S20:T49 Y20:Z49">
    <cfRule type="expression" priority="7282" dxfId="429" stopIfTrue="1">
      <formula>$J11=$C$2</formula>
    </cfRule>
    <cfRule type="expression" priority="7283" dxfId="103" stopIfTrue="1">
      <formula>$J11&lt;&gt;"Serviço"</formula>
    </cfRule>
  </conditionalFormatting>
  <conditionalFormatting sqref="L11:M11 L13:M14 L17:M17 L20:M49">
    <cfRule type="expression" priority="7303" dxfId="431" stopIfTrue="1">
      <formula>$J11=$C$2</formula>
    </cfRule>
    <cfRule type="expression" priority="7304" dxfId="102" stopIfTrue="1">
      <formula>$J11&lt;&gt;"Serviço"</formula>
    </cfRule>
    <cfRule type="expression" priority="7305" dxfId="123" stopIfTrue="1">
      <formula>OR(CELL("proteger",L11),$J11="",TipoOrçamento="Licitado")</formula>
    </cfRule>
  </conditionalFormatting>
  <conditionalFormatting sqref="K51:T51">
    <cfRule type="expression" priority="7284" dxfId="87" stopIfTrue="1">
      <formula>OR(Tipo.Orçamento="LICITADO",Tipo.Orçamento="REPROGRAMADOAC")</formula>
    </cfRule>
    <cfRule type="expression" priority="7285" dxfId="385" stopIfTrue="1">
      <formula>$M$51=""</formula>
    </cfRule>
  </conditionalFormatting>
  <conditionalFormatting sqref="J11 J13:J14 J26 J20 J31:J32 J49">
    <cfRule type="expression" priority="7312" dxfId="5" stopIfTrue="1">
      <formula>TipoOrçamento="Licitado"</formula>
    </cfRule>
  </conditionalFormatting>
  <conditionalFormatting sqref="O11 O13:O14 O17 O20:O49">
    <cfRule type="expression" priority="5618" dxfId="431" stopIfTrue="1">
      <formula>$J11=$C$2</formula>
    </cfRule>
    <cfRule type="expression" priority="5619" dxfId="102" stopIfTrue="1">
      <formula>AND($J11&lt;&gt;"Serviço")</formula>
    </cfRule>
    <cfRule type="expression" priority="5620" dxfId="123" stopIfTrue="1">
      <formula>CELL("proteger",O11)</formula>
    </cfRule>
  </conditionalFormatting>
  <conditionalFormatting sqref="N11 N14 N17 N20:N49">
    <cfRule type="expression" priority="5621" dxfId="432" stopIfTrue="1">
      <formula>$J11=$C$2</formula>
    </cfRule>
    <cfRule type="expression" priority="5622" dxfId="103" stopIfTrue="1">
      <formula>$J11&lt;&gt;"Serviço"</formula>
    </cfRule>
    <cfRule type="expression" priority="5623" dxfId="5" stopIfTrue="1">
      <formula>CELL("proteger",N11)</formula>
    </cfRule>
  </conditionalFormatting>
  <conditionalFormatting sqref="N13">
    <cfRule type="expression" priority="5487" dxfId="432" stopIfTrue="1">
      <formula>$J13=$C$2</formula>
    </cfRule>
    <cfRule type="expression" priority="5488" dxfId="103" stopIfTrue="1">
      <formula>$J13&lt;&gt;"Serviço"</formula>
    </cfRule>
    <cfRule type="expression" priority="5489" dxfId="5" stopIfTrue="1">
      <formula>CELL("proteger",N13)</formula>
    </cfRule>
  </conditionalFormatting>
  <conditionalFormatting sqref="K15:K16">
    <cfRule type="expression" priority="1493" dxfId="429" stopIfTrue="1">
      <formula>$J15=$C$2</formula>
    </cfRule>
    <cfRule type="expression" priority="1494" dxfId="103" stopIfTrue="1">
      <formula>AND($J15&lt;&gt;"",$J15&lt;&gt;"Serviço")</formula>
    </cfRule>
    <cfRule type="expression" priority="1495" dxfId="102" stopIfTrue="1">
      <formula>$J15=""</formula>
    </cfRule>
  </conditionalFormatting>
  <conditionalFormatting sqref="P15:P16">
    <cfRule type="expression" priority="1486" dxfId="430" stopIfTrue="1">
      <formula>$J15=$C$2</formula>
    </cfRule>
    <cfRule type="expression" priority="1496" dxfId="107" stopIfTrue="1">
      <formula>AND($J15&lt;&gt;"Serviço")</formula>
    </cfRule>
    <cfRule type="expression" priority="1497" dxfId="310" stopIfTrue="1">
      <formula>CELL("proteger",P15)</formula>
    </cfRule>
  </conditionalFormatting>
  <conditionalFormatting sqref="R15:R16">
    <cfRule type="expression" priority="1498" dxfId="431" stopIfTrue="1">
      <formula>$J15=$C$2</formula>
    </cfRule>
    <cfRule type="expression" priority="1499" dxfId="102" stopIfTrue="1">
      <formula>$J15&lt;&gt;"Serviço"</formula>
    </cfRule>
    <cfRule type="expression" priority="1500" dxfId="123" stopIfTrue="1">
      <formula>CELL("proteger",R15)</formula>
    </cfRule>
  </conditionalFormatting>
  <conditionalFormatting sqref="S15:T16 Y15:Z16">
    <cfRule type="expression" priority="1501" dxfId="429" stopIfTrue="1">
      <formula>$J15=$C$2</formula>
    </cfRule>
    <cfRule type="expression" priority="1502" dxfId="103" stopIfTrue="1">
      <formula>$J15&lt;&gt;"Serviço"</formula>
    </cfRule>
  </conditionalFormatting>
  <conditionalFormatting sqref="L15:M16">
    <cfRule type="expression" priority="1503" dxfId="431" stopIfTrue="1">
      <formula>$J15=$C$2</formula>
    </cfRule>
    <cfRule type="expression" priority="1504" dxfId="102" stopIfTrue="1">
      <formula>$J15&lt;&gt;"Serviço"</formula>
    </cfRule>
    <cfRule type="expression" priority="1505" dxfId="123" stopIfTrue="1">
      <formula>OR(CELL("proteger",L15),$J15="",TipoOrçamento="Licitado")</formula>
    </cfRule>
  </conditionalFormatting>
  <conditionalFormatting sqref="J15:J16">
    <cfRule type="expression" priority="1506" dxfId="5" stopIfTrue="1">
      <formula>TipoOrçamento="Licitado"</formula>
    </cfRule>
  </conditionalFormatting>
  <conditionalFormatting sqref="O15:O16">
    <cfRule type="expression" priority="1487" dxfId="431" stopIfTrue="1">
      <formula>$J15=$C$2</formula>
    </cfRule>
    <cfRule type="expression" priority="1488" dxfId="102" stopIfTrue="1">
      <formula>AND($J15&lt;&gt;"Serviço")</formula>
    </cfRule>
    <cfRule type="expression" priority="1489" dxfId="123" stopIfTrue="1">
      <formula>CELL("proteger",O15)</formula>
    </cfRule>
  </conditionalFormatting>
  <conditionalFormatting sqref="N15:N16">
    <cfRule type="expression" priority="1490" dxfId="432" stopIfTrue="1">
      <formula>$J15=$C$2</formula>
    </cfRule>
    <cfRule type="expression" priority="1491" dxfId="103" stopIfTrue="1">
      <formula>$J15&lt;&gt;"Serviço"</formula>
    </cfRule>
    <cfRule type="expression" priority="1492" dxfId="5" stopIfTrue="1">
      <formula>CELL("proteger",N15)</formula>
    </cfRule>
  </conditionalFormatting>
  <conditionalFormatting sqref="J33 J43">
    <cfRule type="expression" priority="1314" dxfId="5" stopIfTrue="1">
      <formula>TipoOrçamento="Licitado"</formula>
    </cfRule>
  </conditionalFormatting>
  <conditionalFormatting sqref="J17">
    <cfRule type="expression" priority="1269" dxfId="5" stopIfTrue="1">
      <formula>TipoOrçamento="Licitado"</formula>
    </cfRule>
  </conditionalFormatting>
  <conditionalFormatting sqref="J22">
    <cfRule type="expression" priority="1227" dxfId="5" stopIfTrue="1">
      <formula>TipoOrçamento="Licitado"</formula>
    </cfRule>
  </conditionalFormatting>
  <conditionalFormatting sqref="J21">
    <cfRule type="expression" priority="1179" dxfId="5" stopIfTrue="1">
      <formula>TipoOrçamento="Licitado"</formula>
    </cfRule>
  </conditionalFormatting>
  <conditionalFormatting sqref="J27:J28 J30">
    <cfRule type="expression" priority="987" dxfId="5" stopIfTrue="1">
      <formula>TipoOrçamento="Licitado"</formula>
    </cfRule>
  </conditionalFormatting>
  <conditionalFormatting sqref="J44">
    <cfRule type="expression" priority="873" dxfId="5" stopIfTrue="1">
      <formula>TipoOrçamento="Licitado"</formula>
    </cfRule>
  </conditionalFormatting>
  <conditionalFormatting sqref="J42">
    <cfRule type="expression" priority="741" dxfId="5" stopIfTrue="1">
      <formula>TipoOrçamento="Licitado"</formula>
    </cfRule>
  </conditionalFormatting>
  <conditionalFormatting sqref="J23:J24">
    <cfRule type="expression" priority="399" dxfId="5" stopIfTrue="1">
      <formula>TipoOrçamento="Licitado"</formula>
    </cfRule>
  </conditionalFormatting>
  <conditionalFormatting sqref="J29">
    <cfRule type="expression" priority="378" dxfId="5" stopIfTrue="1">
      <formula>TipoOrçamento="Licitado"</formula>
    </cfRule>
  </conditionalFormatting>
  <conditionalFormatting sqref="J34 J41">
    <cfRule type="expression" priority="357" dxfId="5" stopIfTrue="1">
      <formula>TipoOrçamento="Licitado"</formula>
    </cfRule>
  </conditionalFormatting>
  <conditionalFormatting sqref="J35">
    <cfRule type="expression" priority="336" dxfId="5" stopIfTrue="1">
      <formula>TipoOrçamento="Licitado"</formula>
    </cfRule>
  </conditionalFormatting>
  <conditionalFormatting sqref="J36">
    <cfRule type="expression" priority="312" dxfId="5" stopIfTrue="1">
      <formula>TipoOrçamento="Licitado"</formula>
    </cfRule>
  </conditionalFormatting>
  <conditionalFormatting sqref="J37">
    <cfRule type="expression" priority="285" dxfId="5" stopIfTrue="1">
      <formula>TipoOrçamento="Licitado"</formula>
    </cfRule>
  </conditionalFormatting>
  <conditionalFormatting sqref="J25">
    <cfRule type="expression" priority="222" dxfId="5" stopIfTrue="1">
      <formula>TipoOrçamento="Licitado"</formula>
    </cfRule>
  </conditionalFormatting>
  <conditionalFormatting sqref="K18">
    <cfRule type="expression" priority="164" dxfId="429" stopIfTrue="1">
      <formula>$J18=$C$2</formula>
    </cfRule>
    <cfRule type="expression" priority="165" dxfId="103" stopIfTrue="1">
      <formula>AND($J18&lt;&gt;"",$J18&lt;&gt;"Serviço")</formula>
    </cfRule>
    <cfRule type="expression" priority="166" dxfId="102" stopIfTrue="1">
      <formula>$J18=""</formula>
    </cfRule>
  </conditionalFormatting>
  <conditionalFormatting sqref="P18">
    <cfRule type="expression" priority="157" dxfId="430" stopIfTrue="1">
      <formula>$J18=$C$2</formula>
    </cfRule>
    <cfRule type="expression" priority="167" dxfId="107" stopIfTrue="1">
      <formula>AND($J18&lt;&gt;"Serviço")</formula>
    </cfRule>
    <cfRule type="expression" priority="168" dxfId="310" stopIfTrue="1">
      <formula>CELL("proteger",P18)</formula>
    </cfRule>
  </conditionalFormatting>
  <conditionalFormatting sqref="R18">
    <cfRule type="expression" priority="169" dxfId="431" stopIfTrue="1">
      <formula>$J18=$C$2</formula>
    </cfRule>
    <cfRule type="expression" priority="170" dxfId="102" stopIfTrue="1">
      <formula>$J18&lt;&gt;"Serviço"</formula>
    </cfRule>
    <cfRule type="expression" priority="171" dxfId="123" stopIfTrue="1">
      <formula>CELL("proteger",R18)</formula>
    </cfRule>
  </conditionalFormatting>
  <conditionalFormatting sqref="S18:T18 Y18:Z18">
    <cfRule type="expression" priority="172" dxfId="429" stopIfTrue="1">
      <formula>$J18=$C$2</formula>
    </cfRule>
    <cfRule type="expression" priority="173" dxfId="103" stopIfTrue="1">
      <formula>$J18&lt;&gt;"Serviço"</formula>
    </cfRule>
  </conditionalFormatting>
  <conditionalFormatting sqref="M18">
    <cfRule type="expression" priority="174" dxfId="431" stopIfTrue="1">
      <formula>$J18=$C$2</formula>
    </cfRule>
    <cfRule type="expression" priority="175" dxfId="102" stopIfTrue="1">
      <formula>$J18&lt;&gt;"Serviço"</formula>
    </cfRule>
    <cfRule type="expression" priority="176" dxfId="123" stopIfTrue="1">
      <formula>OR(CELL("proteger",M18),$J18="",TipoOrçamento="Licitado")</formula>
    </cfRule>
  </conditionalFormatting>
  <conditionalFormatting sqref="J18">
    <cfRule type="expression" priority="177" dxfId="5" stopIfTrue="1">
      <formula>TipoOrçamento="Licitado"</formula>
    </cfRule>
  </conditionalFormatting>
  <conditionalFormatting sqref="O18">
    <cfRule type="expression" priority="158" dxfId="431" stopIfTrue="1">
      <formula>$J18=$C$2</formula>
    </cfRule>
    <cfRule type="expression" priority="159" dxfId="102" stopIfTrue="1">
      <formula>AND($J18&lt;&gt;"Serviço")</formula>
    </cfRule>
    <cfRule type="expression" priority="160" dxfId="123" stopIfTrue="1">
      <formula>CELL("proteger",O18)</formula>
    </cfRule>
  </conditionalFormatting>
  <conditionalFormatting sqref="N18">
    <cfRule type="expression" priority="161" dxfId="432" stopIfTrue="1">
      <formula>$J18=$C$2</formula>
    </cfRule>
    <cfRule type="expression" priority="162" dxfId="103" stopIfTrue="1">
      <formula>$J18&lt;&gt;"Serviço"</formula>
    </cfRule>
    <cfRule type="expression" priority="163" dxfId="5" stopIfTrue="1">
      <formula>CELL("proteger",N18)</formula>
    </cfRule>
  </conditionalFormatting>
  <conditionalFormatting sqref="L18">
    <cfRule type="expression" priority="154" dxfId="431" stopIfTrue="1">
      <formula>$J18=$C$2</formula>
    </cfRule>
    <cfRule type="expression" priority="155" dxfId="102" stopIfTrue="1">
      <formula>$J18&lt;&gt;"Serviço"</formula>
    </cfRule>
    <cfRule type="expression" priority="156" dxfId="123" stopIfTrue="1">
      <formula>OR(CELL("proteger",L18),$J18="",TipoOrçamento="Licitado")</formula>
    </cfRule>
  </conditionalFormatting>
  <conditionalFormatting sqref="K19">
    <cfRule type="expression" priority="119" dxfId="429" stopIfTrue="1">
      <formula>$J19=$C$2</formula>
    </cfRule>
    <cfRule type="expression" priority="120" dxfId="103" stopIfTrue="1">
      <formula>AND($J19&lt;&gt;"",$J19&lt;&gt;"Serviço")</formula>
    </cfRule>
    <cfRule type="expression" priority="121" dxfId="102" stopIfTrue="1">
      <formula>$J19=""</formula>
    </cfRule>
  </conditionalFormatting>
  <conditionalFormatting sqref="P19">
    <cfRule type="expression" priority="112" dxfId="430" stopIfTrue="1">
      <formula>$J19=$C$2</formula>
    </cfRule>
    <cfRule type="expression" priority="122" dxfId="107" stopIfTrue="1">
      <formula>AND($J19&lt;&gt;"Serviço")</formula>
    </cfRule>
    <cfRule type="expression" priority="123" dxfId="310" stopIfTrue="1">
      <formula>CELL("proteger",P19)</formula>
    </cfRule>
  </conditionalFormatting>
  <conditionalFormatting sqref="R19">
    <cfRule type="expression" priority="124" dxfId="431" stopIfTrue="1">
      <formula>$J19=$C$2</formula>
    </cfRule>
    <cfRule type="expression" priority="125" dxfId="102" stopIfTrue="1">
      <formula>$J19&lt;&gt;"Serviço"</formula>
    </cfRule>
    <cfRule type="expression" priority="126" dxfId="123" stopIfTrue="1">
      <formula>CELL("proteger",R19)</formula>
    </cfRule>
  </conditionalFormatting>
  <conditionalFormatting sqref="S19:T19 Y19:Z19">
    <cfRule type="expression" priority="127" dxfId="429" stopIfTrue="1">
      <formula>$J19=$C$2</formula>
    </cfRule>
    <cfRule type="expression" priority="128" dxfId="103" stopIfTrue="1">
      <formula>$J19&lt;&gt;"Serviço"</formula>
    </cfRule>
  </conditionalFormatting>
  <conditionalFormatting sqref="L19:M19">
    <cfRule type="expression" priority="129" dxfId="431" stopIfTrue="1">
      <formula>$J19=$C$2</formula>
    </cfRule>
    <cfRule type="expression" priority="130" dxfId="102" stopIfTrue="1">
      <formula>$J19&lt;&gt;"Serviço"</formula>
    </cfRule>
    <cfRule type="expression" priority="131" dxfId="123" stopIfTrue="1">
      <formula>OR(CELL("proteger",L19),$J19="",TipoOrçamento="Licitado")</formula>
    </cfRule>
  </conditionalFormatting>
  <conditionalFormatting sqref="J19">
    <cfRule type="expression" priority="132" dxfId="5" stopIfTrue="1">
      <formula>TipoOrçamento="Licitado"</formula>
    </cfRule>
  </conditionalFormatting>
  <conditionalFormatting sqref="O19">
    <cfRule type="expression" priority="113" dxfId="431" stopIfTrue="1">
      <formula>$J19=$C$2</formula>
    </cfRule>
    <cfRule type="expression" priority="114" dxfId="102" stopIfTrue="1">
      <formula>AND($J19&lt;&gt;"Serviço")</formula>
    </cfRule>
    <cfRule type="expression" priority="115" dxfId="123" stopIfTrue="1">
      <formula>CELL("proteger",O19)</formula>
    </cfRule>
  </conditionalFormatting>
  <conditionalFormatting sqref="N19">
    <cfRule type="expression" priority="116" dxfId="432" stopIfTrue="1">
      <formula>$J19=$C$2</formula>
    </cfRule>
    <cfRule type="expression" priority="117" dxfId="103" stopIfTrue="1">
      <formula>$J19&lt;&gt;"Serviço"</formula>
    </cfRule>
    <cfRule type="expression" priority="118" dxfId="5" stopIfTrue="1">
      <formula>CELL("proteger",N19)</formula>
    </cfRule>
  </conditionalFormatting>
  <conditionalFormatting sqref="J45:J47">
    <cfRule type="expression" priority="90" dxfId="5" stopIfTrue="1">
      <formula>TipoOrçamento="Licitado"</formula>
    </cfRule>
  </conditionalFormatting>
  <conditionalFormatting sqref="J38:J40">
    <cfRule type="expression" priority="63" dxfId="5" stopIfTrue="1">
      <formula>TipoOrçamento="Licitado"</formula>
    </cfRule>
  </conditionalFormatting>
  <conditionalFormatting sqref="J48">
    <cfRule type="expression" priority="42" dxfId="5" stopIfTrue="1">
      <formula>TipoOrçamento="Licitado"</formula>
    </cfRule>
  </conditionalFormatting>
  <dataValidations count="3">
    <dataValidation type="decimal" operator="greaterThan" allowBlank="1" showInputMessage="1" showErrorMessage="1" error="Apenas números decimais maiores que zero." sqref="Q11 Q13:Q49">
      <formula1>0</formula1>
    </dataValidation>
    <dataValidation errorStyle="warning" type="list" allowBlank="1" showInputMessage="1" showErrorMessage="1" error="Selecione um dos 5 BDI da lista.&#10;&#10;Caso tenha mais de 5 BDI nesta Planilha Orçamentária digite apenas valor percentual." sqref="R11 R13:R49">
      <formula1>Dados.Lista.BDI</formula1>
    </dataValidation>
    <dataValidation type="list" showInputMessage="1" showErrorMessage="1" promptTitle="Nível:" prompt="Selecione na lista o nível de itemização da Planilha." errorTitle="Erro de Entrada" error="Selecione somente os itens da lista." sqref="J11 J14:J49">
      <formula1>$C$2:$G$2</formula1>
    </dataValidation>
  </dataValidations>
  <printOptions/>
  <pageMargins left="0.78740157480315" right="0.78740157480315" top="0.78740157480315" bottom="0.78740157480315" header="0.590551181102362" footer="0.590551181102362"/>
  <pageSetup fitToHeight="0" fitToWidth="1" horizontalDpi="600" verticalDpi="600" orientation="landscape" paperSize="9" scale="63" r:id="rId3"/>
  <headerFooter alignWithMargins="0">
    <oddHeader>&amp;C&amp;14I</oddHeader>
    <oddFooter>&amp;L27.476 v008   micro&amp;R&amp;P</oddFooter>
  </headerFooter>
  <ignoredErrors>
    <ignoredError sqref="K61 K64" unlockedFormula="1"/>
  </ignoredErrors>
  <drawing r:id="rId2"/>
  <legacyDrawing r:id="rId1"/>
</worksheet>
</file>

<file path=xl/worksheets/sheet4.xml><?xml version="1.0" encoding="utf-8"?>
<worksheet xmlns="http://schemas.openxmlformats.org/spreadsheetml/2006/main" xmlns:r="http://schemas.openxmlformats.org/officeDocument/2006/relationships">
  <sheetPr codeName="Plan2">
    <tabColor rgb="FFFFFF00"/>
  </sheetPr>
  <dimension ref="A1:AE56"/>
  <sheetViews>
    <sheetView showGridLines="0" zoomScale="85" zoomScaleNormal="85" zoomScaleSheetLayoutView="100" zoomScalePageLayoutView="0" workbookViewId="0" topLeftCell="A1">
      <pane xSplit="5" ySplit="10" topLeftCell="L17" activePane="bottomRight" state="frozen"/>
      <selection pane="topLeft" activeCell="A1" sqref="A1"/>
      <selection pane="topRight" activeCell="A1" sqref="A1"/>
      <selection pane="bottomLeft" activeCell="A1" sqref="A1"/>
      <selection pane="bottomRight" activeCell="L40" sqref="L40"/>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25" width="11.7109375" style="0" customWidth="1"/>
    <col min="26" max="26" width="0.85546875" style="0" customWidth="1"/>
    <col min="31" max="31" width="11.7109375" style="0" hidden="1" customWidth="1"/>
  </cols>
  <sheetData>
    <row r="1" spans="5:25" s="4" customFormat="1" ht="17.25" customHeight="1">
      <c r="E1" s="85" t="s">
        <v>63</v>
      </c>
      <c r="F1" s="36" t="s">
        <v>64</v>
      </c>
      <c r="K1" s="18"/>
      <c r="O1"/>
      <c r="P1" s="36" t="s">
        <v>64</v>
      </c>
      <c r="U1" s="18"/>
      <c r="Y1"/>
    </row>
    <row r="2" spans="4:25" s="4" customFormat="1" ht="15.75">
      <c r="D2" s="6"/>
      <c r="E2" s="85"/>
      <c r="F2" s="36"/>
      <c r="K2" s="19"/>
      <c r="O2"/>
      <c r="P2" s="36"/>
      <c r="U2" s="19"/>
      <c r="Y2"/>
    </row>
    <row r="3" spans="11:26" s="4" customFormat="1" ht="12.75">
      <c r="K3" s="20"/>
      <c r="U3" s="20"/>
      <c r="Z3" s="20"/>
    </row>
    <row r="4" s="4" customFormat="1" ht="39.75" customHeight="1">
      <c r="Z4" s="20"/>
    </row>
    <row r="5" s="4" customFormat="1" ht="39.75" customHeight="1">
      <c r="Z5" s="20"/>
    </row>
    <row r="6" s="4" customFormat="1" ht="20.25" customHeight="1">
      <c r="Z6" s="20"/>
    </row>
    <row r="7" spans="5:26" s="4" customFormat="1" ht="12.75" customHeight="1" hidden="1">
      <c r="E7" s="224">
        <f ca="1">OFFSET(PO!$P$12,ROW($E7)-ROW(E$12),0)</f>
        <v>0</v>
      </c>
      <c r="Z7" s="20"/>
    </row>
    <row r="8" s="4" customFormat="1" ht="9.75" customHeight="1">
      <c r="Z8" s="20"/>
    </row>
    <row r="9" spans="2:31" s="4" customFormat="1" ht="60" customHeight="1">
      <c r="B9" s="17"/>
      <c r="C9" s="14"/>
      <c r="D9" s="9"/>
      <c r="E9" s="146" t="s">
        <v>46</v>
      </c>
      <c r="F9" s="399" t="s">
        <v>243</v>
      </c>
      <c r="G9" s="399" t="s">
        <v>293</v>
      </c>
      <c r="H9" s="399" t="s">
        <v>294</v>
      </c>
      <c r="I9" s="399" t="s">
        <v>296</v>
      </c>
      <c r="J9" s="399" t="s">
        <v>255</v>
      </c>
      <c r="K9" s="399" t="s">
        <v>258</v>
      </c>
      <c r="L9" s="399" t="s">
        <v>259</v>
      </c>
      <c r="M9" s="399" t="s">
        <v>260</v>
      </c>
      <c r="N9" s="399" t="s">
        <v>295</v>
      </c>
      <c r="O9" s="399" t="s">
        <v>267</v>
      </c>
      <c r="P9" s="399" t="s">
        <v>268</v>
      </c>
      <c r="Q9" s="399" t="s">
        <v>269</v>
      </c>
      <c r="R9" s="399" t="s">
        <v>270</v>
      </c>
      <c r="S9" s="399" t="s">
        <v>272</v>
      </c>
      <c r="T9" s="399" t="s">
        <v>276</v>
      </c>
      <c r="U9" s="399" t="s">
        <v>277</v>
      </c>
      <c r="V9" s="399" t="s">
        <v>278</v>
      </c>
      <c r="W9" s="399"/>
      <c r="X9" s="399"/>
      <c r="Y9" s="399"/>
      <c r="AE9" s="122"/>
    </row>
    <row r="10" spans="1:31" s="15" customFormat="1" ht="30" customHeight="1">
      <c r="A10" s="123" t="s">
        <v>3</v>
      </c>
      <c r="B10" s="123" t="s">
        <v>148</v>
      </c>
      <c r="C10" s="123" t="s">
        <v>143</v>
      </c>
      <c r="D10" s="124" t="s">
        <v>159</v>
      </c>
      <c r="E10" s="123" t="s">
        <v>149</v>
      </c>
      <c r="F10" s="125">
        <f aca="true" ca="1" t="shared" si="0" ref="F10:Y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P10" s="125">
        <f ca="1" t="shared" si="0"/>
        <v>11</v>
      </c>
      <c r="Q10" s="125">
        <f ca="1" t="shared" si="0"/>
        <v>12</v>
      </c>
      <c r="R10" s="125">
        <f ca="1" t="shared" si="0"/>
        <v>13</v>
      </c>
      <c r="S10" s="125">
        <f ca="1" t="shared" si="0"/>
        <v>14</v>
      </c>
      <c r="T10" s="125">
        <f ca="1" t="shared" si="0"/>
        <v>15</v>
      </c>
      <c r="U10" s="125">
        <f ca="1" t="shared" si="0"/>
        <v>16</v>
      </c>
      <c r="V10" s="125">
        <f ca="1" t="shared" si="0"/>
        <v>17</v>
      </c>
      <c r="W10" s="125">
        <f ca="1" t="shared" si="0"/>
        <v>18</v>
      </c>
      <c r="X10" s="125">
        <f ca="1" t="shared" si="0"/>
        <v>19</v>
      </c>
      <c r="Y10" s="125">
        <f ca="1" t="shared" si="0"/>
        <v>20</v>
      </c>
      <c r="AE10" s="125">
        <f ca="1">IF(OFFSET(AE10,0,-1)="Quantidade",1,OFFSET(AE10,0,-1)+1)</f>
        <v>1</v>
      </c>
    </row>
    <row r="11" spans="1:31" s="4" customFormat="1" ht="12.75" hidden="1">
      <c r="A11" s="128" t="str">
        <f ca="1">OFFSET(PO!J$12,ROW(A11)-ROW($A$12),0)</f>
        <v>Serviço</v>
      </c>
      <c r="B11" s="130" t="e">
        <f ca="1">IF($A11=0,"",OFFSET(PO!K$12,ROW(B11)-ROW(B$12),0))</f>
        <v>#VALUE!</v>
      </c>
      <c r="C11" s="127">
        <f ca="1">IF(OFFSET(PO!N$12,ROW(C11)-ROW(C$12),0)=0,"",OFFSET(PO!N$12,ROW(C11)-ROW(C$12),0))</f>
      </c>
      <c r="D11" s="129">
        <f ca="1">IF(OFFSET(PO!O$12,ROW(D11)-ROW(D$12),0)=0,"",OFFSET(PO!O$12,ROW(D11)-ROW(D$12),0))</f>
      </c>
      <c r="E11" s="165">
        <f>IF($A11&lt;&gt;"Serviço",0,ROUND(SUMIF($F$9:$Z$9,"&lt;&gt;",$F11:$Z11),15-13*PO!$X$3))</f>
        <v>0</v>
      </c>
      <c r="F11" s="215"/>
      <c r="G11" s="215"/>
      <c r="H11" s="215"/>
      <c r="I11" s="215"/>
      <c r="J11" s="215"/>
      <c r="K11" s="215"/>
      <c r="L11" s="215"/>
      <c r="M11" s="215"/>
      <c r="N11" s="215"/>
      <c r="O11" s="215"/>
      <c r="P11" s="215"/>
      <c r="Q11" s="215"/>
      <c r="R11" s="215"/>
      <c r="S11" s="215"/>
      <c r="T11" s="215"/>
      <c r="U11" s="215"/>
      <c r="V11" s="215"/>
      <c r="W11" s="215"/>
      <c r="X11" s="215"/>
      <c r="Y11" s="215"/>
      <c r="AE11" s="215"/>
    </row>
    <row r="12" spans="1:31" s="4" customFormat="1" ht="12.75">
      <c r="A12" s="76" t="str">
        <f>PO!J12</f>
        <v>CTEF</v>
      </c>
      <c r="B12" s="76"/>
      <c r="C12" s="76">
        <f>PO!N12</f>
        <v>0</v>
      </c>
      <c r="D12" s="76"/>
      <c r="E12" s="216"/>
      <c r="F12" s="217"/>
      <c r="G12" s="217"/>
      <c r="H12" s="217"/>
      <c r="I12" s="217"/>
      <c r="J12" s="217"/>
      <c r="K12" s="217"/>
      <c r="L12" s="217"/>
      <c r="M12" s="217"/>
      <c r="N12" s="217"/>
      <c r="O12" s="217"/>
      <c r="P12" s="217"/>
      <c r="Q12" s="217"/>
      <c r="R12" s="217"/>
      <c r="S12" s="217"/>
      <c r="T12" s="217"/>
      <c r="U12" s="217"/>
      <c r="V12" s="217"/>
      <c r="W12" s="217"/>
      <c r="X12" s="217"/>
      <c r="Y12" s="217"/>
      <c r="AE12" s="217"/>
    </row>
    <row r="13" spans="1:31" s="4" customFormat="1" ht="12.75">
      <c r="A13" s="126" t="str">
        <f ca="1">OFFSET(PO!J$12,ROW(A13)-ROW($A$12),0)</f>
        <v>Meta</v>
      </c>
      <c r="B13" s="130" t="str">
        <f ca="1">IF($A13=0,"",OFFSET(PO!K$12,ROW(B13)-ROW(B$12),0))</f>
        <v>1.</v>
      </c>
      <c r="C13" s="127" t="str">
        <f ca="1">IF(OFFSET(PO!N$12,ROW(C13)-ROW(C$12),0)=0,"",OFFSET(PO!N$12,ROW(C13)-ROW(C$12),0))</f>
        <v>REVITALIZAÇÃO DOS CANTEIROS</v>
      </c>
      <c r="D13" s="129">
        <f ca="1">IF(OFFSET(PO!O$12,ROW(D13)-ROW(D$12),0)=0,"",OFFSET(PO!O$12,ROW(D13)-ROW(D$12),0))</f>
      </c>
      <c r="E13" s="165">
        <f>IF($A13&lt;&gt;"Serviço",0,ROUND(SUMIF($F$9:$Z$9,"&lt;&gt;",$F13:$Z13),15-13*PO!$X$3))</f>
        <v>0</v>
      </c>
      <c r="F13" s="398">
        <v>0</v>
      </c>
      <c r="G13" s="398"/>
      <c r="H13" s="398"/>
      <c r="I13" s="398"/>
      <c r="J13" s="398"/>
      <c r="K13" s="398"/>
      <c r="L13" s="398"/>
      <c r="M13" s="398"/>
      <c r="N13" s="398"/>
      <c r="O13" s="398"/>
      <c r="P13" s="398"/>
      <c r="Q13" s="398"/>
      <c r="R13" s="398"/>
      <c r="S13" s="398"/>
      <c r="T13" s="398"/>
      <c r="U13" s="398"/>
      <c r="V13" s="398"/>
      <c r="W13" s="398"/>
      <c r="X13" s="398"/>
      <c r="Y13" s="398"/>
      <c r="AE13" s="215"/>
    </row>
    <row r="14" spans="1:31" s="4" customFormat="1" ht="12.75">
      <c r="A14" s="128" t="str">
        <f ca="1">OFFSET(PO!J$12,ROW(A14)-ROW($A$12),0)</f>
        <v>Nível 2</v>
      </c>
      <c r="B14" s="130" t="str">
        <f ca="1">IF($A14=0,"",OFFSET(PO!K$12,ROW(B14)-ROW(B$12),0))</f>
        <v>1.1.</v>
      </c>
      <c r="C14" s="127" t="str">
        <f ca="1">IF(OFFSET(PO!N$12,ROW(C14)-ROW(C$12),0)=0,"",OFFSET(PO!N$12,ROW(C14)-ROW(C$12),0))</f>
        <v>SERVIÇOS PRELIMINARES</v>
      </c>
      <c r="D14" s="129">
        <f ca="1">IF(OFFSET(PO!O$12,ROW(D14)-ROW(D$12),0)=0,"",OFFSET(PO!O$12,ROW(D14)-ROW(D$12),0))</f>
      </c>
      <c r="E14" s="165">
        <f>IF($A14&lt;&gt;"Serviço",0,ROUND(SUMIF($F$9:$Z$9,"&lt;&gt;",$F14:$Z14),15-13*PO!$X$3))</f>
        <v>0</v>
      </c>
      <c r="F14" s="398">
        <v>0</v>
      </c>
      <c r="G14" s="398"/>
      <c r="H14" s="398"/>
      <c r="I14" s="398"/>
      <c r="J14" s="398"/>
      <c r="K14" s="398"/>
      <c r="L14" s="398"/>
      <c r="M14" s="398"/>
      <c r="N14" s="398"/>
      <c r="O14" s="398"/>
      <c r="P14" s="398"/>
      <c r="Q14" s="398"/>
      <c r="R14" s="398"/>
      <c r="S14" s="398"/>
      <c r="T14" s="398"/>
      <c r="U14" s="398"/>
      <c r="V14" s="398"/>
      <c r="W14" s="398"/>
      <c r="X14" s="398"/>
      <c r="Y14" s="398"/>
      <c r="AE14" s="215"/>
    </row>
    <row r="15" spans="1:31" s="4" customFormat="1" ht="25.5">
      <c r="A15" s="128" t="str">
        <f ca="1">OFFSET(PO!J$12,ROW(A15)-ROW($A$12),0)</f>
        <v>Serviço</v>
      </c>
      <c r="B15" s="130" t="str">
        <f ca="1">IF($A15=0,"",OFFSET(PO!K$12,ROW(B15)-ROW(B$12),0))</f>
        <v>1.1.1.</v>
      </c>
      <c r="C15" s="127" t="str">
        <f ca="1">IF(OFFSET(PO!N$12,ROW(C15)-ROW(C$12),0)=0,"",OFFSET(PO!N$12,ROW(C15)-ROW(C$12),0))</f>
        <v>PLACA DE OBRA (PARA CONSTRUCAO CIVIL) EM CHAPA GALVANIZADA *N. 22*, ADESIVADA, DE *2,0 X 1,125* M</v>
      </c>
      <c r="D15" s="129" t="str">
        <f ca="1">IF(OFFSET(PO!O$12,ROW(D15)-ROW(D$12),0)=0,"",OFFSET(PO!O$12,ROW(D15)-ROW(D$12),0))</f>
        <v>M2    </v>
      </c>
      <c r="E15" s="165">
        <f>IF($A15&lt;&gt;"Serviço",0,ROUND(SUMIF($F$9:$Z$9,"&lt;&gt;",$F15:$Z15),15-13*PO!$X$3))</f>
        <v>16</v>
      </c>
      <c r="F15" s="398">
        <v>16</v>
      </c>
      <c r="G15" s="398">
        <v>0</v>
      </c>
      <c r="H15" s="398">
        <v>0</v>
      </c>
      <c r="I15" s="398">
        <v>0</v>
      </c>
      <c r="J15" s="398">
        <v>0</v>
      </c>
      <c r="K15" s="398">
        <v>0</v>
      </c>
      <c r="L15" s="398">
        <v>0</v>
      </c>
      <c r="M15" s="398">
        <v>0</v>
      </c>
      <c r="N15" s="398">
        <v>0</v>
      </c>
      <c r="O15" s="398">
        <v>0</v>
      </c>
      <c r="P15" s="398">
        <v>0</v>
      </c>
      <c r="Q15" s="398">
        <v>0</v>
      </c>
      <c r="R15" s="398">
        <v>0</v>
      </c>
      <c r="S15" s="398">
        <v>0</v>
      </c>
      <c r="T15" s="398">
        <v>0</v>
      </c>
      <c r="U15" s="398">
        <v>0</v>
      </c>
      <c r="V15" s="398">
        <v>0</v>
      </c>
      <c r="W15" s="398"/>
      <c r="X15" s="398"/>
      <c r="Y15" s="398"/>
      <c r="AE15" s="215"/>
    </row>
    <row r="16" spans="1:31" s="4" customFormat="1" ht="38.25">
      <c r="A16" s="128" t="str">
        <f ca="1">OFFSET(PO!J$12,ROW(A16)-ROW($A$12),0)</f>
        <v>Serviço</v>
      </c>
      <c r="B16" s="130" t="str">
        <f ca="1">IF($A16=0,"",OFFSET(PO!K$12,ROW(B16)-ROW(B$12),0))</f>
        <v>1.1.2.</v>
      </c>
      <c r="C16" s="127" t="str">
        <f ca="1">IF(OFFSET(PO!N$12,ROW(C16)-ROW(C$12),0)=0,"",OFFSET(PO!N$12,ROW(C16)-ROW(C$12),0))</f>
        <v>EXECUÇÃO DE DEPÓSITO EM CANTEIRO DE OBRA EM CHAPA DE MADEIRA COMPENSADA, NÃO INCLUSO MOBILIÁRIO. AF_04/2016</v>
      </c>
      <c r="D16" s="129" t="str">
        <f ca="1">IF(OFFSET(PO!O$12,ROW(D16)-ROW(D$12),0)=0,"",OFFSET(PO!O$12,ROW(D16)-ROW(D$12),0))</f>
        <v>M2</v>
      </c>
      <c r="E16" s="165">
        <f>IF($A16&lt;&gt;"Serviço",0,ROUND(SUMIF($F$9:$Z$9,"&lt;&gt;",$F16:$Z16),15-13*PO!$X$3))</f>
        <v>9</v>
      </c>
      <c r="F16" s="398">
        <v>9</v>
      </c>
      <c r="G16" s="398">
        <v>0</v>
      </c>
      <c r="H16" s="398">
        <v>0</v>
      </c>
      <c r="I16" s="398">
        <v>0</v>
      </c>
      <c r="J16" s="398">
        <v>0</v>
      </c>
      <c r="K16" s="398">
        <v>0</v>
      </c>
      <c r="L16" s="398">
        <v>0</v>
      </c>
      <c r="M16" s="398">
        <v>0</v>
      </c>
      <c r="N16" s="398">
        <v>0</v>
      </c>
      <c r="O16" s="398">
        <v>0</v>
      </c>
      <c r="P16" s="398">
        <v>0</v>
      </c>
      <c r="Q16" s="398">
        <v>0</v>
      </c>
      <c r="R16" s="398">
        <v>0</v>
      </c>
      <c r="S16" s="398">
        <v>0</v>
      </c>
      <c r="T16" s="398">
        <v>0</v>
      </c>
      <c r="U16" s="398">
        <v>0</v>
      </c>
      <c r="V16" s="398">
        <v>0</v>
      </c>
      <c r="W16" s="398"/>
      <c r="X16" s="398"/>
      <c r="Y16" s="398"/>
      <c r="AE16" s="215"/>
    </row>
    <row r="17" spans="1:31" s="4" customFormat="1" ht="12.75">
      <c r="A17" s="128" t="str">
        <f ca="1">OFFSET(PO!J$12,ROW(A17)-ROW($A$12),0)</f>
        <v>Nível 2</v>
      </c>
      <c r="B17" s="130" t="str">
        <f ca="1">IF($A17=0,"",OFFSET(PO!K$12,ROW(B17)-ROW(B$12),0))</f>
        <v>1.2.</v>
      </c>
      <c r="C17" s="127" t="str">
        <f ca="1">IF(OFFSET(PO!N$12,ROW(C17)-ROW(C$12),0)=0,"",OFFSET(PO!N$12,ROW(C17)-ROW(C$12),0))</f>
        <v>CICLOVIA PRÉVIA (GUIA E GRAMA)</v>
      </c>
      <c r="D17" s="129">
        <f ca="1">IF(OFFSET(PO!O$12,ROW(D17)-ROW(D$12),0)=0,"",OFFSET(PO!O$12,ROW(D17)-ROW(D$12),0))</f>
      </c>
      <c r="E17" s="165">
        <f>IF($A17&lt;&gt;"Serviço",0,ROUND(SUMIF($F$9:$Z$9,"&lt;&gt;",$F17:$Z17),15-13*PO!$X$3))</f>
        <v>0</v>
      </c>
      <c r="F17" s="398">
        <v>0</v>
      </c>
      <c r="G17" s="398"/>
      <c r="H17" s="398"/>
      <c r="I17" s="398"/>
      <c r="J17" s="398"/>
      <c r="K17" s="398"/>
      <c r="L17" s="398"/>
      <c r="M17" s="398"/>
      <c r="N17" s="398"/>
      <c r="O17" s="398"/>
      <c r="P17" s="398"/>
      <c r="Q17" s="398"/>
      <c r="R17" s="398"/>
      <c r="S17" s="398"/>
      <c r="T17" s="398"/>
      <c r="U17" s="398"/>
      <c r="V17" s="398"/>
      <c r="W17" s="398"/>
      <c r="X17" s="398"/>
      <c r="Y17" s="398"/>
      <c r="AE17" s="215"/>
    </row>
    <row r="18" spans="1:31" s="4" customFormat="1" ht="38.25">
      <c r="A18" s="128" t="str">
        <f ca="1">OFFSET(PO!J$12,ROW(A18)-ROW($A$12),0)</f>
        <v>Serviço</v>
      </c>
      <c r="B18" s="130" t="str">
        <f ca="1">IF($A18=0,"",OFFSET(PO!K$12,ROW(B18)-ROW(B$12),0))</f>
        <v>1.2.1.</v>
      </c>
      <c r="C18" s="127" t="str">
        <f ca="1">IF(OFFSET(PO!N$12,ROW(C18)-ROW(C$12),0)=0,"",OFFSET(PO!N$12,ROW(C18)-ROW(C$12),0))</f>
        <v>GUIA (MEIO-FIO) CONCRETO, MOLDADA  IN LOCO  EM TRECHO RETO COM EXTRUSORA, 13 CM BASE X 22 CM ALTURA. AF_06/2016</v>
      </c>
      <c r="D18" s="129" t="str">
        <f ca="1">IF(OFFSET(PO!O$12,ROW(D18)-ROW(D$12),0)=0,"",OFFSET(PO!O$12,ROW(D18)-ROW(D$12),0))</f>
        <v>M</v>
      </c>
      <c r="E18" s="165">
        <f>IF($A18&lt;&gt;"Serviço",0,ROUND(SUMIF($F$9:$Z$9,"&lt;&gt;",$F18:$Z18),15-13*PO!$X$3))</f>
        <v>3940</v>
      </c>
      <c r="F18" s="398">
        <v>372</v>
      </c>
      <c r="G18" s="398">
        <v>107</v>
      </c>
      <c r="H18" s="398">
        <v>122</v>
      </c>
      <c r="I18" s="398">
        <v>25</v>
      </c>
      <c r="J18" s="398">
        <v>112</v>
      </c>
      <c r="K18" s="398">
        <v>72</v>
      </c>
      <c r="L18" s="398">
        <v>50</v>
      </c>
      <c r="M18" s="398">
        <v>363</v>
      </c>
      <c r="N18" s="398">
        <v>182</v>
      </c>
      <c r="O18" s="398">
        <v>190</v>
      </c>
      <c r="P18" s="398">
        <v>360</v>
      </c>
      <c r="Q18" s="398">
        <v>125</v>
      </c>
      <c r="R18" s="398">
        <v>285</v>
      </c>
      <c r="S18" s="398"/>
      <c r="T18" s="398">
        <v>230</v>
      </c>
      <c r="U18" s="398">
        <v>780</v>
      </c>
      <c r="V18" s="398">
        <v>565</v>
      </c>
      <c r="W18" s="398"/>
      <c r="X18" s="398"/>
      <c r="Y18" s="398"/>
      <c r="AE18" s="215"/>
    </row>
    <row r="19" spans="1:31" s="4" customFormat="1" ht="63.75">
      <c r="A19" s="128" t="str">
        <f ca="1">OFFSET(PO!J$12,ROW(A19)-ROW($A$12),0)</f>
        <v>Serviço</v>
      </c>
      <c r="B19" s="130" t="str">
        <f ca="1">IF($A19=0,"",OFFSET(PO!K$12,ROW(B19)-ROW(B$12),0))</f>
        <v>1.2.2.</v>
      </c>
      <c r="C19" s="127" t="str">
        <f ca="1">IF(OFFSET(PO!N$12,ROW(C19)-ROW(C$12),0)=0,"",OFFSET(PO!N$12,ROW(C19)-ROW(C$12),0))</f>
        <v>ALVENARIA DE VEDAÇÃO DE BLOCOS VAZADOS DE CONCRETO DE 9X19X39CM (ESPESSURA 9CM) DE PAREDES COM ÁREA LÍQUIDA MAIOR OU IGUAL A 6M² SEM VÃOS E ARGAMASSA DE ASSENTAMENTO COM PREPARO EM BETONEIRA. AF_06/2014</v>
      </c>
      <c r="D19" s="129" t="str">
        <f ca="1">IF(OFFSET(PO!O$12,ROW(D19)-ROW(D$12),0)=0,"",OFFSET(PO!O$12,ROW(D19)-ROW(D$12),0))</f>
        <v>M2</v>
      </c>
      <c r="E19" s="165">
        <f>IF($A19&lt;&gt;"Serviço",0,ROUND(SUMIF($F$9:$Z$9,"&lt;&gt;",$F19:$Z19),15-13*PO!$X$3))</f>
        <v>30</v>
      </c>
      <c r="F19" s="398">
        <v>0</v>
      </c>
      <c r="G19" s="398">
        <v>0</v>
      </c>
      <c r="H19" s="398">
        <v>0</v>
      </c>
      <c r="I19" s="398">
        <v>30</v>
      </c>
      <c r="J19" s="398">
        <v>0</v>
      </c>
      <c r="K19" s="398">
        <v>0</v>
      </c>
      <c r="L19" s="398">
        <v>0</v>
      </c>
      <c r="M19" s="398">
        <v>0</v>
      </c>
      <c r="N19" s="398">
        <v>0</v>
      </c>
      <c r="O19" s="398">
        <v>0</v>
      </c>
      <c r="P19" s="398">
        <v>0</v>
      </c>
      <c r="Q19" s="398">
        <v>0</v>
      </c>
      <c r="R19" s="398">
        <v>0</v>
      </c>
      <c r="S19" s="398">
        <v>0</v>
      </c>
      <c r="T19" s="398">
        <v>0</v>
      </c>
      <c r="U19" s="398">
        <v>0</v>
      </c>
      <c r="V19" s="398">
        <v>0</v>
      </c>
      <c r="W19" s="398"/>
      <c r="X19" s="398"/>
      <c r="Y19" s="398"/>
      <c r="AE19" s="215"/>
    </row>
    <row r="20" spans="1:31" s="4" customFormat="1" ht="12.75">
      <c r="A20" s="128" t="str">
        <f ca="1">OFFSET(PO!J$12,ROW(A20)-ROW($A$12),0)</f>
        <v>Nível 2</v>
      </c>
      <c r="B20" s="130" t="str">
        <f ca="1">IF($A20=0,"",OFFSET(PO!K$12,ROW(B20)-ROW(B$12),0))</f>
        <v>1.3.</v>
      </c>
      <c r="C20" s="127" t="str">
        <f ca="1">IF(OFFSET(PO!N$12,ROW(C20)-ROW(C$12),0)=0,"",OFFSET(PO!N$12,ROW(C20)-ROW(C$12),0))</f>
        <v>ESTACIONAMENTO E AREA DE MANOBRA</v>
      </c>
      <c r="D20" s="129" t="str">
        <f ca="1">IF(OFFSET(PO!O$12,ROW(D20)-ROW(D$12),0)=0,"",OFFSET(PO!O$12,ROW(D20)-ROW(D$12),0))</f>
        <v>M3XKM</v>
      </c>
      <c r="E20" s="165">
        <f>IF($A20&lt;&gt;"Serviço",0,ROUND(SUMIF($F$9:$Z$9,"&lt;&gt;",$F20:$Z20),15-13*PO!$X$3))</f>
        <v>0</v>
      </c>
      <c r="F20" s="398">
        <v>4.6</v>
      </c>
      <c r="G20" s="398"/>
      <c r="H20" s="398"/>
      <c r="I20" s="398"/>
      <c r="J20" s="398"/>
      <c r="K20" s="398"/>
      <c r="L20" s="398"/>
      <c r="M20" s="398"/>
      <c r="N20" s="398"/>
      <c r="O20" s="398"/>
      <c r="P20" s="398"/>
      <c r="Q20" s="398"/>
      <c r="R20" s="398"/>
      <c r="S20" s="398"/>
      <c r="T20" s="398"/>
      <c r="U20" s="398"/>
      <c r="V20" s="398"/>
      <c r="W20" s="398"/>
      <c r="X20" s="398"/>
      <c r="Y20" s="398"/>
      <c r="AE20" s="215"/>
    </row>
    <row r="21" spans="1:31" s="4" customFormat="1" ht="38.25">
      <c r="A21" s="128" t="str">
        <f ca="1">OFFSET(PO!J$12,ROW(A21)-ROW($A$12),0)</f>
        <v>Serviço</v>
      </c>
      <c r="B21" s="130" t="str">
        <f ca="1">IF($A21=0,"",OFFSET(PO!K$12,ROW(B21)-ROW(B$12),0))</f>
        <v>1.3.1.</v>
      </c>
      <c r="C21" s="127" t="str">
        <f ca="1">IF(OFFSET(PO!N$12,ROW(C21)-ROW(C$12),0)=0,"",OFFSET(PO!N$12,ROW(C21)-ROW(C$12),0))</f>
        <v>EXECUÇÃO DE ESTACIONAMENTO 30° COM 3 VAGAS, PISO EM CONCREGRAMA COM GUIA DE CONTENÇÃO (VAGA 2,30 X 4,70 M)</v>
      </c>
      <c r="D21" s="129" t="str">
        <f ca="1">IF(OFFSET(PO!O$12,ROW(D21)-ROW(D$12),0)=0,"",OFFSET(PO!O$12,ROW(D21)-ROW(D$12),0))</f>
        <v>U N</v>
      </c>
      <c r="E21" s="165">
        <f>IF($A21&lt;&gt;"Serviço",0,ROUND(SUMIF($F$9:$Z$9,"&lt;&gt;",$F21:$Z21),15-13*PO!$X$3))</f>
        <v>24</v>
      </c>
      <c r="F21" s="398">
        <v>2</v>
      </c>
      <c r="G21" s="398">
        <v>1</v>
      </c>
      <c r="H21" s="398">
        <v>3</v>
      </c>
      <c r="I21" s="398">
        <v>0</v>
      </c>
      <c r="J21" s="398">
        <v>0</v>
      </c>
      <c r="K21" s="398">
        <v>0</v>
      </c>
      <c r="L21" s="398">
        <v>1</v>
      </c>
      <c r="M21" s="398">
        <v>3</v>
      </c>
      <c r="N21" s="398">
        <v>0</v>
      </c>
      <c r="O21" s="398">
        <v>4</v>
      </c>
      <c r="P21" s="398">
        <v>3</v>
      </c>
      <c r="Q21" s="398">
        <v>0</v>
      </c>
      <c r="R21" s="398">
        <v>0</v>
      </c>
      <c r="S21" s="398">
        <v>0</v>
      </c>
      <c r="T21" s="398">
        <v>0</v>
      </c>
      <c r="U21" s="398">
        <v>7</v>
      </c>
      <c r="V21" s="398">
        <v>0</v>
      </c>
      <c r="W21" s="398"/>
      <c r="X21" s="398"/>
      <c r="Y21" s="398"/>
      <c r="AE21" s="215"/>
    </row>
    <row r="22" spans="1:31" s="4" customFormat="1" ht="38.25">
      <c r="A22" s="128" t="str">
        <f ca="1">OFFSET(PO!J$12,ROW(A22)-ROW($A$12),0)</f>
        <v>Serviço</v>
      </c>
      <c r="B22" s="130" t="str">
        <f ca="1">IF($A22=0,"",OFFSET(PO!K$12,ROW(B22)-ROW(B$12),0))</f>
        <v>1.3.2.</v>
      </c>
      <c r="C22" s="127" t="str">
        <f ca="1">IF(OFFSET(PO!N$12,ROW(C22)-ROW(C$12),0)=0,"",OFFSET(PO!N$12,ROW(C22)-ROW(C$12),0))</f>
        <v>EXECUÇÃO DE ESTACIONAMENTO 30°, SOMENTE VAGA EXTRA (INTERNA) , EM  PISO EM CONCREGRAMA COM GUIA DE CONTENÇÃO (VAGA 2,30 X 4,70 M)</v>
      </c>
      <c r="D22" s="129" t="str">
        <f ca="1">IF(OFFSET(PO!O$12,ROW(D22)-ROW(D$12),0)=0,"",OFFSET(PO!O$12,ROW(D22)-ROW(D$12),0))</f>
        <v>U N</v>
      </c>
      <c r="E22" s="165">
        <f>IF($A22&lt;&gt;"Serviço",0,ROUND(SUMIF($F$9:$Z$9,"&lt;&gt;",$F22:$Z22),15-13*PO!$X$3))</f>
        <v>73</v>
      </c>
      <c r="F22" s="398">
        <v>11</v>
      </c>
      <c r="G22" s="398">
        <v>5</v>
      </c>
      <c r="H22" s="398">
        <v>7</v>
      </c>
      <c r="I22" s="398">
        <v>0</v>
      </c>
      <c r="J22" s="398">
        <v>0</v>
      </c>
      <c r="K22" s="398">
        <v>0</v>
      </c>
      <c r="L22" s="398">
        <v>3</v>
      </c>
      <c r="M22" s="398">
        <v>12</v>
      </c>
      <c r="N22" s="398">
        <v>0</v>
      </c>
      <c r="O22" s="398">
        <v>11</v>
      </c>
      <c r="P22" s="398">
        <v>4</v>
      </c>
      <c r="Q22" s="398">
        <v>0</v>
      </c>
      <c r="R22" s="398">
        <v>0</v>
      </c>
      <c r="S22" s="398">
        <v>0</v>
      </c>
      <c r="T22" s="398">
        <v>0</v>
      </c>
      <c r="U22" s="398">
        <v>20</v>
      </c>
      <c r="V22" s="398">
        <v>0</v>
      </c>
      <c r="W22" s="398"/>
      <c r="X22" s="398"/>
      <c r="Y22" s="398"/>
      <c r="AE22" s="215"/>
    </row>
    <row r="23" spans="1:31" s="4" customFormat="1" ht="38.25">
      <c r="A23" s="128" t="str">
        <f ca="1">OFFSET(PO!J$12,ROW(A23)-ROW($A$12),0)</f>
        <v>Serviço</v>
      </c>
      <c r="B23" s="130" t="str">
        <f ca="1">IF($A23=0,"",OFFSET(PO!K$12,ROW(B23)-ROW(B$12),0))</f>
        <v>1.3.3.</v>
      </c>
      <c r="C23" s="127" t="str">
        <f ca="1">IF(OFFSET(PO!N$12,ROW(C23)-ROW(C$12),0)=0,"",OFFSET(PO!N$12,ROW(C23)-ROW(C$12),0))</f>
        <v>EXECUÇÃO DE ESTACIONAMENTO PARALELO A VIA COM 2 VAGAS, PISO EM CONCREGRAMA COM GUIA DE CONTENÇÃO (VAGA 2,40 X 5,50M)</v>
      </c>
      <c r="D23" s="129" t="str">
        <f ca="1">IF(OFFSET(PO!O$12,ROW(D23)-ROW(D$12),0)=0,"",OFFSET(PO!O$12,ROW(D23)-ROW(D$12),0))</f>
        <v>U N</v>
      </c>
      <c r="E23" s="165">
        <f>IF($A23&lt;&gt;"Serviço",0,ROUND(SUMIF($F$9:$Z$9,"&lt;&gt;",$F23:$Z23),15-13*PO!$X$3))</f>
        <v>4</v>
      </c>
      <c r="F23" s="398">
        <v>0</v>
      </c>
      <c r="G23" s="398">
        <v>0</v>
      </c>
      <c r="H23" s="398">
        <v>0</v>
      </c>
      <c r="I23" s="398">
        <v>0</v>
      </c>
      <c r="J23" s="398">
        <v>1</v>
      </c>
      <c r="K23" s="398">
        <v>1</v>
      </c>
      <c r="L23" s="398">
        <v>0</v>
      </c>
      <c r="M23" s="398">
        <v>0</v>
      </c>
      <c r="N23" s="398">
        <v>0</v>
      </c>
      <c r="O23" s="398">
        <v>0</v>
      </c>
      <c r="P23" s="398">
        <v>0</v>
      </c>
      <c r="Q23" s="398">
        <v>0</v>
      </c>
      <c r="R23" s="398">
        <v>0</v>
      </c>
      <c r="S23" s="398">
        <v>0</v>
      </c>
      <c r="T23" s="398">
        <v>0</v>
      </c>
      <c r="U23" s="398">
        <v>0</v>
      </c>
      <c r="V23" s="398">
        <v>2</v>
      </c>
      <c r="W23" s="398"/>
      <c r="X23" s="398"/>
      <c r="Y23" s="398"/>
      <c r="AE23" s="215"/>
    </row>
    <row r="24" spans="1:31" s="4" customFormat="1" ht="38.25">
      <c r="A24" s="128" t="str">
        <f ca="1">OFFSET(PO!J$12,ROW(A24)-ROW($A$12),0)</f>
        <v>Serviço</v>
      </c>
      <c r="B24" s="130" t="str">
        <f ca="1">IF($A24=0,"",OFFSET(PO!K$12,ROW(B24)-ROW(B$12),0))</f>
        <v>1.3.4.</v>
      </c>
      <c r="C24" s="127" t="str">
        <f ca="1">IF(OFFSET(PO!N$12,ROW(C24)-ROW(C$12),0)=0,"",OFFSET(PO!N$12,ROW(C24)-ROW(C$12),0))</f>
        <v>EXECUÇÃO DE ESTACIONAMENTO PARALELO A VIA, SOMENTE VAGA EXTRA (INTERNA) , EM  PISO EM CONCREGRAMA COM GUIA DE CONTENÇÃO (VAGA 2,40 X 5,50 M)</v>
      </c>
      <c r="D24" s="129" t="str">
        <f ca="1">IF(OFFSET(PO!O$12,ROW(D24)-ROW(D$12),0)=0,"",OFFSET(PO!O$12,ROW(D24)-ROW(D$12),0))</f>
        <v>U N</v>
      </c>
      <c r="E24" s="165">
        <f>IF($A24&lt;&gt;"Serviço",0,ROUND(SUMIF($F$9:$Z$9,"&lt;&gt;",$F24:$Z24),15-13*PO!$X$3))</f>
        <v>32</v>
      </c>
      <c r="F24" s="398">
        <v>0</v>
      </c>
      <c r="G24" s="398">
        <v>0</v>
      </c>
      <c r="H24" s="398">
        <v>0</v>
      </c>
      <c r="I24" s="398">
        <v>0</v>
      </c>
      <c r="J24" s="398">
        <v>4</v>
      </c>
      <c r="K24" s="398">
        <v>7</v>
      </c>
      <c r="L24" s="398">
        <v>0</v>
      </c>
      <c r="M24" s="398">
        <v>0</v>
      </c>
      <c r="N24" s="398">
        <v>0</v>
      </c>
      <c r="O24" s="398">
        <v>0</v>
      </c>
      <c r="P24" s="398">
        <v>0</v>
      </c>
      <c r="Q24" s="398">
        <v>0</v>
      </c>
      <c r="R24" s="398">
        <v>0</v>
      </c>
      <c r="S24" s="398">
        <v>0</v>
      </c>
      <c r="T24" s="398">
        <v>0</v>
      </c>
      <c r="U24" s="398">
        <v>0</v>
      </c>
      <c r="V24" s="398">
        <v>21</v>
      </c>
      <c r="W24" s="398"/>
      <c r="X24" s="398"/>
      <c r="Y24" s="398"/>
      <c r="AE24" s="215"/>
    </row>
    <row r="25" spans="1:31" s="4" customFormat="1" ht="12.75">
      <c r="A25" s="128" t="str">
        <f ca="1">OFFSET(PO!J$12,ROW(A25)-ROW($A$12),0)</f>
        <v>Serviço</v>
      </c>
      <c r="B25" s="130" t="str">
        <f ca="1">IF($A25=0,"",OFFSET(PO!K$12,ROW(B25)-ROW(B$12),0))</f>
        <v>1.3.5.</v>
      </c>
      <c r="C25" s="127" t="str">
        <f ca="1">IF(OFFSET(PO!N$12,ROW(C25)-ROW(C$12),0)=0,"",OFFSET(PO!N$12,ROW(C25)-ROW(C$12),0))</f>
        <v>ÁREA PARA MANOBRAS  EM PISO INTERTRAVADO 10CM</v>
      </c>
      <c r="D25" s="129" t="str">
        <f ca="1">IF(OFFSET(PO!O$12,ROW(D25)-ROW(D$12),0)=0,"",OFFSET(PO!O$12,ROW(D25)-ROW(D$12),0))</f>
        <v>M</v>
      </c>
      <c r="E25" s="165">
        <f>IF($A25&lt;&gt;"Serviço",0,ROUND(SUMIF($F$9:$Z$9,"&lt;&gt;",$F25:$Z25),15-13*PO!$X$3))</f>
        <v>190</v>
      </c>
      <c r="F25" s="398">
        <v>0</v>
      </c>
      <c r="G25" s="398">
        <v>0</v>
      </c>
      <c r="H25" s="398">
        <v>0</v>
      </c>
      <c r="I25" s="398">
        <v>0</v>
      </c>
      <c r="J25" s="398">
        <v>0</v>
      </c>
      <c r="K25" s="398">
        <v>0</v>
      </c>
      <c r="L25" s="398">
        <v>0</v>
      </c>
      <c r="M25" s="398">
        <v>0</v>
      </c>
      <c r="N25" s="398">
        <v>0</v>
      </c>
      <c r="O25" s="398">
        <v>0</v>
      </c>
      <c r="P25" s="398">
        <v>0</v>
      </c>
      <c r="Q25" s="398">
        <v>0</v>
      </c>
      <c r="R25" s="398">
        <v>0</v>
      </c>
      <c r="S25" s="398">
        <v>0</v>
      </c>
      <c r="T25" s="398">
        <v>0</v>
      </c>
      <c r="U25" s="398">
        <v>0</v>
      </c>
      <c r="V25" s="398">
        <v>190</v>
      </c>
      <c r="W25" s="398">
        <v>0</v>
      </c>
      <c r="X25" s="398"/>
      <c r="Y25" s="398"/>
      <c r="AE25" s="215"/>
    </row>
    <row r="26" spans="1:31" s="4" customFormat="1" ht="12.75">
      <c r="A26" s="128" t="str">
        <f ca="1">OFFSET(PO!J$12,ROW(A26)-ROW($A$12),0)</f>
        <v>Nível 2</v>
      </c>
      <c r="B26" s="130" t="str">
        <f ca="1">IF($A26=0,"",OFFSET(PO!K$12,ROW(B26)-ROW(B$12),0))</f>
        <v>1.4.</v>
      </c>
      <c r="C26" s="127" t="str">
        <f ca="1">IF(OFFSET(PO!N$12,ROW(C26)-ROW(C$12),0)=0,"",OFFSET(PO!N$12,ROW(C26)-ROW(C$12),0))</f>
        <v>PASSAGEM PARA PEDESTRES NOS CANTEIROS</v>
      </c>
      <c r="D26" s="129">
        <f ca="1">IF(OFFSET(PO!O$12,ROW(D26)-ROW(D$12),0)=0,"",OFFSET(PO!O$12,ROW(D26)-ROW(D$12),0))</f>
      </c>
      <c r="E26" s="165">
        <f>IF($A26&lt;&gt;"Serviço",0,ROUND(SUMIF($F$9:$Z$9,"&lt;&gt;",$F26:$Z26),15-13*PO!$X$3))</f>
        <v>0</v>
      </c>
      <c r="F26" s="398">
        <v>0</v>
      </c>
      <c r="G26" s="398"/>
      <c r="H26" s="398"/>
      <c r="I26" s="398"/>
      <c r="J26" s="398"/>
      <c r="K26" s="398"/>
      <c r="L26" s="398"/>
      <c r="M26" s="398"/>
      <c r="N26" s="398"/>
      <c r="O26" s="398"/>
      <c r="P26" s="398"/>
      <c r="Q26" s="398"/>
      <c r="R26" s="398"/>
      <c r="S26" s="398"/>
      <c r="T26" s="398"/>
      <c r="U26" s="398"/>
      <c r="V26" s="398"/>
      <c r="W26" s="398"/>
      <c r="X26" s="398"/>
      <c r="Y26" s="398"/>
      <c r="AE26" s="215"/>
    </row>
    <row r="27" spans="1:31" s="4" customFormat="1" ht="25.5">
      <c r="A27" s="128" t="str">
        <f ca="1">OFFSET(PO!J$12,ROW(A27)-ROW($A$12),0)</f>
        <v>Serviço</v>
      </c>
      <c r="B27" s="130" t="str">
        <f ca="1">IF($A27=0,"",OFFSET(PO!K$12,ROW(B27)-ROW(B$12),0))</f>
        <v>1.4.1.</v>
      </c>
      <c r="C27" s="127" t="str">
        <f ca="1">IF(OFFSET(PO!N$12,ROW(C27)-ROW(C$12),0)=0,"",OFFSET(PO!N$12,ROW(C27)-ROW(C$12),0))</f>
        <v>PASSAGEM PARA PEDESTRE NOS CANTEIROS (EXTREMIDADES)</v>
      </c>
      <c r="D27" s="129" t="str">
        <f ca="1">IF(OFFSET(PO!O$12,ROW(D27)-ROW(D$12),0)=0,"",OFFSET(PO!O$12,ROW(D27)-ROW(D$12),0))</f>
        <v>U N</v>
      </c>
      <c r="E27" s="165">
        <f>IF($A27&lt;&gt;"Serviço",0,ROUND(SUMIF($F$9:$Z$9,"&lt;&gt;",$F27:$Z27),15-13*PO!$X$3))</f>
        <v>18</v>
      </c>
      <c r="F27" s="398">
        <v>2</v>
      </c>
      <c r="G27" s="398">
        <v>0</v>
      </c>
      <c r="H27" s="398">
        <v>0</v>
      </c>
      <c r="I27" s="398">
        <v>1</v>
      </c>
      <c r="J27" s="398">
        <v>0</v>
      </c>
      <c r="K27" s="398">
        <v>0</v>
      </c>
      <c r="L27" s="398">
        <v>2</v>
      </c>
      <c r="M27" s="398">
        <v>0</v>
      </c>
      <c r="N27" s="398">
        <v>1</v>
      </c>
      <c r="O27" s="398">
        <v>2</v>
      </c>
      <c r="P27" s="398">
        <v>2</v>
      </c>
      <c r="Q27" s="398">
        <v>0</v>
      </c>
      <c r="R27" s="398">
        <v>2</v>
      </c>
      <c r="S27" s="398">
        <v>0</v>
      </c>
      <c r="T27" s="398">
        <v>0</v>
      </c>
      <c r="U27" s="398">
        <v>5</v>
      </c>
      <c r="V27" s="398">
        <v>1</v>
      </c>
      <c r="W27" s="398"/>
      <c r="X27" s="398"/>
      <c r="Y27" s="398"/>
      <c r="AE27" s="215"/>
    </row>
    <row r="28" spans="1:31" s="4" customFormat="1" ht="12.75">
      <c r="A28" s="128" t="str">
        <f ca="1">OFFSET(PO!J$12,ROW(A28)-ROW($A$12),0)</f>
        <v>Serviço</v>
      </c>
      <c r="B28" s="130" t="str">
        <f ca="1">IF($A28=0,"",OFFSET(PO!K$12,ROW(B28)-ROW(B$12),0))</f>
        <v>1.4.2.</v>
      </c>
      <c r="C28" s="127" t="str">
        <f ca="1">IF(OFFSET(PO!N$12,ROW(C28)-ROW(C$12),0)=0,"",OFFSET(PO!N$12,ROW(C28)-ROW(C$12),0))</f>
        <v>PASSAGEM PARA PEDESTRE NOS CANTEIROS (INTERIOR)</v>
      </c>
      <c r="D28" s="129" t="str">
        <f ca="1">IF(OFFSET(PO!O$12,ROW(D28)-ROW(D$12),0)=0,"",OFFSET(PO!O$12,ROW(D28)-ROW(D$12),0))</f>
        <v>U N</v>
      </c>
      <c r="E28" s="165">
        <f>IF($A28&lt;&gt;"Serviço",0,ROUND(SUMIF($F$9:$Z$9,"&lt;&gt;",$F28:$Z28),15-13*PO!$X$3))</f>
        <v>13</v>
      </c>
      <c r="F28" s="398">
        <v>0</v>
      </c>
      <c r="G28" s="398">
        <v>1</v>
      </c>
      <c r="H28" s="398">
        <v>0</v>
      </c>
      <c r="I28" s="398">
        <v>1</v>
      </c>
      <c r="J28" s="398">
        <v>2</v>
      </c>
      <c r="K28" s="398">
        <v>0</v>
      </c>
      <c r="L28" s="398">
        <v>0</v>
      </c>
      <c r="M28" s="398">
        <v>1</v>
      </c>
      <c r="N28" s="398">
        <v>1</v>
      </c>
      <c r="O28" s="398">
        <v>0</v>
      </c>
      <c r="P28" s="398">
        <v>1</v>
      </c>
      <c r="Q28" s="398">
        <v>0</v>
      </c>
      <c r="R28" s="398">
        <v>0</v>
      </c>
      <c r="S28" s="398">
        <v>0</v>
      </c>
      <c r="T28" s="398">
        <v>0</v>
      </c>
      <c r="U28" s="398">
        <v>5</v>
      </c>
      <c r="V28" s="398">
        <v>1</v>
      </c>
      <c r="W28" s="398"/>
      <c r="X28" s="398"/>
      <c r="Y28" s="398"/>
      <c r="AE28" s="215"/>
    </row>
    <row r="29" spans="1:31" s="4" customFormat="1" ht="25.5">
      <c r="A29" s="128" t="str">
        <f ca="1">OFFSET(PO!J$12,ROW(A29)-ROW($A$12),0)</f>
        <v>Serviço</v>
      </c>
      <c r="B29" s="130" t="str">
        <f ca="1">IF($A29=0,"",OFFSET(PO!K$12,ROW(B29)-ROW(B$12),0))</f>
        <v>1.4.3.</v>
      </c>
      <c r="C29" s="127" t="str">
        <f ca="1">IF(OFFSET(PO!N$12,ROW(C29)-ROW(C$12),0)=0,"",OFFSET(PO!N$12,ROW(C29)-ROW(C$12),0))</f>
        <v>PASSAGEM CÔNCAVAS PARA PEDESTRE NOS CANTEIROS (EXTREMIDADES)</v>
      </c>
      <c r="D29" s="129" t="str">
        <f ca="1">IF(OFFSET(PO!O$12,ROW(D29)-ROW(D$12),0)=0,"",OFFSET(PO!O$12,ROW(D29)-ROW(D$12),0))</f>
        <v>U N</v>
      </c>
      <c r="E29" s="165">
        <f>IF($A29&lt;&gt;"Serviço",0,ROUND(SUMIF($F$9:$Z$9,"&lt;&gt;",$F29:$Z29),15-13*PO!$X$3))</f>
        <v>2</v>
      </c>
      <c r="F29" s="398">
        <v>0</v>
      </c>
      <c r="G29" s="398">
        <v>0</v>
      </c>
      <c r="H29" s="398">
        <v>0</v>
      </c>
      <c r="I29" s="398">
        <v>0</v>
      </c>
      <c r="J29" s="398">
        <v>0</v>
      </c>
      <c r="K29" s="398">
        <v>0</v>
      </c>
      <c r="L29" s="398">
        <v>0</v>
      </c>
      <c r="M29" s="398">
        <v>0</v>
      </c>
      <c r="N29" s="398">
        <v>0</v>
      </c>
      <c r="O29" s="398">
        <v>0</v>
      </c>
      <c r="P29" s="398">
        <v>1</v>
      </c>
      <c r="Q29" s="398">
        <v>0</v>
      </c>
      <c r="R29" s="398">
        <v>0</v>
      </c>
      <c r="S29" s="398">
        <v>0</v>
      </c>
      <c r="T29" s="398">
        <v>0</v>
      </c>
      <c r="U29" s="398">
        <v>1</v>
      </c>
      <c r="V29" s="398">
        <v>0</v>
      </c>
      <c r="W29" s="398"/>
      <c r="X29" s="398"/>
      <c r="Y29" s="398"/>
      <c r="AE29" s="215"/>
    </row>
    <row r="30" spans="1:31" s="4" customFormat="1" ht="12.75">
      <c r="A30" s="128" t="str">
        <f ca="1">OFFSET(PO!J$12,ROW(A30)-ROW($A$12),0)</f>
        <v>Nível 2</v>
      </c>
      <c r="B30" s="130" t="str">
        <f ca="1">IF($A30=0,"",OFFSET(PO!K$12,ROW(B30)-ROW(B$12),0))</f>
        <v>1.5.</v>
      </c>
      <c r="C30" s="127" t="str">
        <f ca="1">IF(OFFSET(PO!N$12,ROW(C30)-ROW(C$12),0)=0,"",OFFSET(PO!N$12,ROW(C30)-ROW(C$12),0))</f>
        <v>SINALIZAÇÃO DE TRANSITO VERTICAL E HORIZONTAL</v>
      </c>
      <c r="D30" s="129">
        <f ca="1">IF(OFFSET(PO!O$12,ROW(D30)-ROW(D$12),0)=0,"",OFFSET(PO!O$12,ROW(D30)-ROW(D$12),0))</f>
      </c>
      <c r="E30" s="165">
        <f>IF($A30&lt;&gt;"Serviço",0,ROUND(SUMIF($F$9:$Z$9,"&lt;&gt;",$F30:$Z30),15-13*PO!$X$3))</f>
        <v>0</v>
      </c>
      <c r="F30" s="398"/>
      <c r="G30" s="398"/>
      <c r="H30" s="398"/>
      <c r="I30" s="398"/>
      <c r="J30" s="398"/>
      <c r="K30" s="398"/>
      <c r="L30" s="398"/>
      <c r="M30" s="398"/>
      <c r="N30" s="398"/>
      <c r="O30" s="398"/>
      <c r="P30" s="398"/>
      <c r="Q30" s="398"/>
      <c r="R30" s="398"/>
      <c r="S30" s="398"/>
      <c r="T30" s="398"/>
      <c r="U30" s="398"/>
      <c r="V30" s="398"/>
      <c r="W30" s="398"/>
      <c r="X30" s="398"/>
      <c r="Y30" s="398"/>
      <c r="AE30" s="215"/>
    </row>
    <row r="31" spans="1:31" s="4" customFormat="1" ht="12.75">
      <c r="A31" s="128" t="str">
        <f ca="1">OFFSET(PO!J$12,ROW(A31)-ROW($A$12),0)</f>
        <v>Serviço</v>
      </c>
      <c r="B31" s="130" t="str">
        <f ca="1">IF($A31=0,"",OFFSET(PO!K$12,ROW(B31)-ROW(B$12),0))</f>
        <v>1.5.1.</v>
      </c>
      <c r="C31" s="127" t="str">
        <f ca="1">IF(OFFSET(PO!N$12,ROW(C31)-ROW(C$12),0)=0,"",OFFSET(PO!N$12,ROW(C31)-ROW(C$12),0))</f>
        <v>PLACA DE TRANSITO COM POSTE EM MADEIRA</v>
      </c>
      <c r="D31" s="129" t="str">
        <f ca="1">IF(OFFSET(PO!O$12,ROW(D31)-ROW(D$12),0)=0,"",OFFSET(PO!O$12,ROW(D31)-ROW(D$12),0))</f>
        <v>U N</v>
      </c>
      <c r="E31" s="165">
        <f>IF($A31&lt;&gt;"Serviço",0,ROUND(SUMIF($F$9:$Z$9,"&lt;&gt;",$F31:$Z31),15-13*PO!$X$3))</f>
        <v>53</v>
      </c>
      <c r="F31" s="398">
        <v>2</v>
      </c>
      <c r="G31" s="398">
        <v>1</v>
      </c>
      <c r="H31" s="398">
        <v>3</v>
      </c>
      <c r="I31" s="398">
        <v>1</v>
      </c>
      <c r="J31" s="398">
        <v>3</v>
      </c>
      <c r="K31" s="398">
        <v>1</v>
      </c>
      <c r="L31" s="398">
        <v>1</v>
      </c>
      <c r="M31" s="398">
        <v>3</v>
      </c>
      <c r="N31" s="398">
        <v>0</v>
      </c>
      <c r="O31" s="398">
        <v>4</v>
      </c>
      <c r="P31" s="398">
        <v>3</v>
      </c>
      <c r="Q31" s="398">
        <v>1</v>
      </c>
      <c r="R31" s="398">
        <v>3</v>
      </c>
      <c r="S31" s="398">
        <v>0</v>
      </c>
      <c r="T31" s="398">
        <v>1</v>
      </c>
      <c r="U31" s="398">
        <v>10</v>
      </c>
      <c r="V31" s="398">
        <v>16</v>
      </c>
      <c r="W31" s="398"/>
      <c r="X31" s="398"/>
      <c r="Y31" s="398"/>
      <c r="AE31" s="215"/>
    </row>
    <row r="32" spans="1:31" s="4" customFormat="1" ht="12.75">
      <c r="A32" s="128" t="str">
        <f ca="1">OFFSET(PO!J$12,ROW(A32)-ROW($A$12),0)</f>
        <v>Serviço</v>
      </c>
      <c r="B32" s="130" t="str">
        <f ca="1">IF($A32=0,"",OFFSET(PO!K$12,ROW(B32)-ROW(B$12),0))</f>
        <v>1.5.2.</v>
      </c>
      <c r="C32" s="127" t="str">
        <f ca="1">IF(OFFSET(PO!N$12,ROW(C32)-ROW(C$12),0)=0,"",OFFSET(PO!N$12,ROW(C32)-ROW(C$12),0))</f>
        <v>FAIXA DE PEDESTRE LARGURA DE 2,50 M</v>
      </c>
      <c r="D32" s="129" t="str">
        <f ca="1">IF(OFFSET(PO!O$12,ROW(D32)-ROW(D$12),0)=0,"",OFFSET(PO!O$12,ROW(D32)-ROW(D$12),0))</f>
        <v>M</v>
      </c>
      <c r="E32" s="165">
        <f>IF($A32&lt;&gt;"Serviço",0,ROUND(SUMIF($F$9:$Z$9,"&lt;&gt;",$F32:$Z32),15-13*PO!$X$3))</f>
        <v>1214</v>
      </c>
      <c r="F32" s="398">
        <v>66</v>
      </c>
      <c r="G32" s="398">
        <v>35</v>
      </c>
      <c r="H32" s="398">
        <v>84</v>
      </c>
      <c r="I32" s="398">
        <v>28</v>
      </c>
      <c r="J32" s="398">
        <v>92</v>
      </c>
      <c r="K32" s="398">
        <v>38</v>
      </c>
      <c r="L32" s="398">
        <v>28</v>
      </c>
      <c r="M32" s="398">
        <v>63</v>
      </c>
      <c r="N32" s="398">
        <v>28</v>
      </c>
      <c r="O32" s="398">
        <v>91</v>
      </c>
      <c r="P32" s="398">
        <v>98</v>
      </c>
      <c r="Q32" s="398">
        <v>42</v>
      </c>
      <c r="R32" s="398">
        <v>49</v>
      </c>
      <c r="S32" s="398">
        <v>0</v>
      </c>
      <c r="T32" s="398">
        <v>21</v>
      </c>
      <c r="U32" s="398">
        <v>217</v>
      </c>
      <c r="V32" s="398">
        <v>234</v>
      </c>
      <c r="W32" s="398"/>
      <c r="X32" s="398"/>
      <c r="Y32" s="398"/>
      <c r="AE32" s="215"/>
    </row>
    <row r="33" spans="1:31" s="4" customFormat="1" ht="12.75">
      <c r="A33" s="128" t="str">
        <f ca="1">OFFSET(PO!J$12,ROW(A33)-ROW($A$12),0)</f>
        <v>Nível 2</v>
      </c>
      <c r="B33" s="130" t="str">
        <f ca="1">IF($A33=0,"",OFFSET(PO!K$12,ROW(B33)-ROW(B$12),0))</f>
        <v>1.6.</v>
      </c>
      <c r="C33" s="127" t="str">
        <f ca="1">IF(OFFSET(PO!N$12,ROW(C33)-ROW(C$12),0)=0,"",OFFSET(PO!N$12,ROW(C33)-ROW(C$12),0))</f>
        <v>ABERTURAS DE CANTEIROS</v>
      </c>
      <c r="D33" s="129">
        <f ca="1">IF(OFFSET(PO!O$12,ROW(D33)-ROW(D$12),0)=0,"",OFFSET(PO!O$12,ROW(D33)-ROW(D$12),0))</f>
      </c>
      <c r="E33" s="165">
        <f>IF($A33&lt;&gt;"Serviço",0,ROUND(SUMIF($F$9:$Z$9,"&lt;&gt;",$F33:$Z33),15-13*PO!$X$3))</f>
        <v>0</v>
      </c>
      <c r="F33" s="398">
        <v>0</v>
      </c>
      <c r="G33" s="398"/>
      <c r="H33" s="398"/>
      <c r="I33" s="398"/>
      <c r="J33" s="398"/>
      <c r="K33" s="398"/>
      <c r="L33" s="398"/>
      <c r="M33" s="398"/>
      <c r="N33" s="398"/>
      <c r="O33" s="398"/>
      <c r="P33" s="398"/>
      <c r="Q33" s="398"/>
      <c r="R33" s="398"/>
      <c r="S33" s="398"/>
      <c r="T33" s="398"/>
      <c r="U33" s="398"/>
      <c r="V33" s="398"/>
      <c r="W33" s="398"/>
      <c r="X33" s="398"/>
      <c r="Y33" s="398"/>
      <c r="AE33" s="215"/>
    </row>
    <row r="34" spans="1:31" s="4" customFormat="1" ht="25.5">
      <c r="A34" s="128" t="str">
        <f ca="1">OFFSET(PO!J$12,ROW(A34)-ROW($A$12),0)</f>
        <v>Serviço</v>
      </c>
      <c r="B34" s="130" t="str">
        <f ca="1">IF($A34=0,"",OFFSET(PO!K$12,ROW(B34)-ROW(B$12),0))</f>
        <v>1.6.1.</v>
      </c>
      <c r="C34" s="127" t="str">
        <f ca="1">IF(OFFSET(PO!N$12,ROW(C34)-ROW(C$12),0)=0,"",OFFSET(PO!N$12,ROW(C34)-ROW(C$12),0))</f>
        <v>ABERTURA DE CANTEIRO 8 M EM PISO INTERTRAVADO (7,00 m largura de canteiro)</v>
      </c>
      <c r="D34" s="129" t="str">
        <f ca="1">IF(OFFSET(PO!O$12,ROW(D34)-ROW(D$12),0)=0,"",OFFSET(PO!O$12,ROW(D34)-ROW(D$12),0))</f>
        <v>U N</v>
      </c>
      <c r="E34" s="165">
        <f>IF($A34&lt;&gt;"Serviço",0,ROUND(SUMIF($F$9:$Z$9,"&lt;&gt;",$F34:$Z34),15-13*PO!$X$3))</f>
        <v>4</v>
      </c>
      <c r="F34" s="398">
        <v>0</v>
      </c>
      <c r="G34" s="398">
        <v>0</v>
      </c>
      <c r="H34" s="398">
        <v>0</v>
      </c>
      <c r="I34" s="398">
        <v>0</v>
      </c>
      <c r="J34" s="398">
        <v>0</v>
      </c>
      <c r="K34" s="398">
        <v>0</v>
      </c>
      <c r="L34" s="398">
        <v>0</v>
      </c>
      <c r="M34" s="398">
        <v>0</v>
      </c>
      <c r="N34" s="398">
        <v>0</v>
      </c>
      <c r="O34" s="398">
        <v>0</v>
      </c>
      <c r="P34" s="398">
        <v>0</v>
      </c>
      <c r="Q34" s="398">
        <v>0</v>
      </c>
      <c r="R34" s="398">
        <v>0</v>
      </c>
      <c r="S34" s="398">
        <v>1</v>
      </c>
      <c r="T34" s="398">
        <v>3</v>
      </c>
      <c r="U34" s="398">
        <v>0</v>
      </c>
      <c r="V34" s="398">
        <v>0</v>
      </c>
      <c r="W34" s="398"/>
      <c r="X34" s="398"/>
      <c r="Y34" s="398"/>
      <c r="AE34" s="215"/>
    </row>
    <row r="35" spans="1:31" s="4" customFormat="1" ht="25.5">
      <c r="A35" s="128" t="str">
        <f ca="1">OFFSET(PO!J$12,ROW(A35)-ROW($A$12),0)</f>
        <v>Serviço</v>
      </c>
      <c r="B35" s="130" t="str">
        <f ca="1">IF($A35=0,"",OFFSET(PO!K$12,ROW(B35)-ROW(B$12),0))</f>
        <v>1.6.2.</v>
      </c>
      <c r="C35" s="127" t="str">
        <f ca="1">IF(OFFSET(PO!N$12,ROW(C35)-ROW(C$12),0)=0,"",OFFSET(PO!N$12,ROW(C35)-ROW(C$12),0))</f>
        <v>ABERTURA DE CANTEIRO PROVISÓRIA COM MÃO ÚNICA (até 7,50 m largura de canteiro)</v>
      </c>
      <c r="D35" s="129" t="str">
        <f ca="1">IF(OFFSET(PO!O$12,ROW(D35)-ROW(D$12),0)=0,"",OFFSET(PO!O$12,ROW(D35)-ROW(D$12),0))</f>
        <v>U N</v>
      </c>
      <c r="E35" s="165">
        <f>IF($A35&lt;&gt;"Serviço",0,ROUND(SUMIF($F$9:$Z$9,"&lt;&gt;",$F35:$Z35),15-13*PO!$X$3))</f>
        <v>2</v>
      </c>
      <c r="F35" s="398">
        <v>0</v>
      </c>
      <c r="G35" s="398">
        <v>0</v>
      </c>
      <c r="H35" s="398">
        <v>0</v>
      </c>
      <c r="I35" s="398">
        <v>0</v>
      </c>
      <c r="J35" s="398">
        <v>0</v>
      </c>
      <c r="K35" s="398">
        <v>0</v>
      </c>
      <c r="L35" s="398">
        <v>0</v>
      </c>
      <c r="M35" s="398">
        <v>0</v>
      </c>
      <c r="N35" s="398">
        <v>0</v>
      </c>
      <c r="O35" s="398">
        <v>0</v>
      </c>
      <c r="P35" s="398">
        <v>0</v>
      </c>
      <c r="Q35" s="398">
        <v>1</v>
      </c>
      <c r="R35" s="398">
        <v>1</v>
      </c>
      <c r="S35" s="398">
        <v>0</v>
      </c>
      <c r="T35" s="398">
        <v>0</v>
      </c>
      <c r="U35" s="398">
        <v>0</v>
      </c>
      <c r="V35" s="398">
        <v>0</v>
      </c>
      <c r="W35" s="398"/>
      <c r="X35" s="398"/>
      <c r="Y35" s="398"/>
      <c r="AE35" s="215"/>
    </row>
    <row r="36" spans="1:31" s="4" customFormat="1" ht="25.5">
      <c r="A36" s="128" t="str">
        <f ca="1">OFFSET(PO!J$12,ROW(A36)-ROW($A$12),0)</f>
        <v>Serviço</v>
      </c>
      <c r="B36" s="130" t="str">
        <f ca="1">IF($A36=0,"",OFFSET(PO!K$12,ROW(B36)-ROW(B$12),0))</f>
        <v>1.6.3.</v>
      </c>
      <c r="C36" s="127" t="str">
        <f ca="1">IF(OFFSET(PO!N$12,ROW(C36)-ROW(C$12),0)=0,"",OFFSET(PO!N$12,ROW(C36)-ROW(C$12),0))</f>
        <v>RETORNO SIMPLES COM FAIXA ADICIONAL MÃO UNICA( largura de 3,0 m)</v>
      </c>
      <c r="D36" s="129" t="str">
        <f ca="1">IF(OFFSET(PO!O$12,ROW(D36)-ROW(D$12),0)=0,"",OFFSET(PO!O$12,ROW(D36)-ROW(D$12),0))</f>
        <v>U N</v>
      </c>
      <c r="E36" s="165">
        <f>IF($A36&lt;&gt;"Serviço",0,ROUND(SUMIF($F$9:$Z$9,"&lt;&gt;",$F36:$Z36),15-13*PO!$X$3))</f>
        <v>1</v>
      </c>
      <c r="F36" s="398">
        <v>0</v>
      </c>
      <c r="G36" s="398">
        <v>0</v>
      </c>
      <c r="H36" s="398">
        <v>0</v>
      </c>
      <c r="I36" s="398">
        <v>0</v>
      </c>
      <c r="J36" s="398">
        <v>0</v>
      </c>
      <c r="K36" s="398">
        <v>0</v>
      </c>
      <c r="L36" s="398">
        <v>0</v>
      </c>
      <c r="M36" s="398">
        <v>0</v>
      </c>
      <c r="N36" s="398">
        <v>0</v>
      </c>
      <c r="O36" s="398">
        <v>0</v>
      </c>
      <c r="P36" s="398">
        <v>0</v>
      </c>
      <c r="Q36" s="398">
        <v>0</v>
      </c>
      <c r="R36" s="398">
        <v>0</v>
      </c>
      <c r="S36" s="398">
        <v>0</v>
      </c>
      <c r="T36" s="398">
        <v>0</v>
      </c>
      <c r="U36" s="398">
        <v>1</v>
      </c>
      <c r="V36" s="398">
        <v>0</v>
      </c>
      <c r="W36" s="398"/>
      <c r="X36" s="398"/>
      <c r="Y36" s="398"/>
      <c r="AE36" s="215"/>
    </row>
    <row r="37" spans="1:31" s="4" customFormat="1" ht="12.75">
      <c r="A37" s="128" t="str">
        <f ca="1">OFFSET(PO!J$12,ROW(A37)-ROW($A$12),0)</f>
        <v>Serviço</v>
      </c>
      <c r="B37" s="130" t="str">
        <f ca="1">IF($A37=0,"",OFFSET(PO!K$12,ROW(B37)-ROW(B$12),0))</f>
        <v>1.6.4.</v>
      </c>
      <c r="C37" s="127" t="str">
        <f ca="1">IF(OFFSET(PO!N$12,ROW(C37)-ROW(C$12),0)=0,"",OFFSET(PO!N$12,ROW(C37)-ROW(C$12),0))</f>
        <v>RETORNO  COM FAIXA ADICIONAL MÃO UNICA( largura de 4,0 m)</v>
      </c>
      <c r="D37" s="129" t="str">
        <f ca="1">IF(OFFSET(PO!O$12,ROW(D37)-ROW(D$12),0)=0,"",OFFSET(PO!O$12,ROW(D37)-ROW(D$12),0))</f>
        <v>U N</v>
      </c>
      <c r="E37" s="165">
        <f>IF($A37&lt;&gt;"Serviço",0,ROUND(SUMIF($F$9:$Z$9,"&lt;&gt;",$F37:$Z37),15-13*PO!$X$3))</f>
        <v>1</v>
      </c>
      <c r="F37" s="398">
        <v>0</v>
      </c>
      <c r="G37" s="398">
        <v>0</v>
      </c>
      <c r="H37" s="398">
        <v>0</v>
      </c>
      <c r="I37" s="398">
        <v>0</v>
      </c>
      <c r="J37" s="398">
        <v>0</v>
      </c>
      <c r="K37" s="398">
        <v>0</v>
      </c>
      <c r="L37" s="398">
        <v>0</v>
      </c>
      <c r="M37" s="398">
        <v>0</v>
      </c>
      <c r="N37" s="398">
        <v>0</v>
      </c>
      <c r="O37" s="398">
        <v>0</v>
      </c>
      <c r="P37" s="398">
        <v>0</v>
      </c>
      <c r="Q37" s="398">
        <v>0</v>
      </c>
      <c r="R37" s="398">
        <v>0</v>
      </c>
      <c r="S37" s="398">
        <v>0</v>
      </c>
      <c r="T37" s="398">
        <v>0</v>
      </c>
      <c r="U37" s="398">
        <v>0</v>
      </c>
      <c r="V37" s="398">
        <v>1</v>
      </c>
      <c r="W37" s="398"/>
      <c r="X37" s="398"/>
      <c r="Y37" s="398"/>
      <c r="AE37" s="215"/>
    </row>
    <row r="38" spans="1:31" s="4" customFormat="1" ht="12.75">
      <c r="A38" s="128" t="str">
        <f ca="1">OFFSET(PO!J$12,ROW(A38)-ROW($A$12),0)</f>
        <v>Nível 2</v>
      </c>
      <c r="B38" s="130" t="str">
        <f ca="1">IF($A38=0,"",OFFSET(PO!K$12,ROW(B38)-ROW(B$12),0))</f>
        <v>1.7.</v>
      </c>
      <c r="C38" s="127" t="str">
        <f ca="1">IF(OFFSET(PO!N$12,ROW(C38)-ROW(C$12),0)=0,"",OFFSET(PO!N$12,ROW(C38)-ROW(C$12),0))</f>
        <v>RAMPA EM CALÇADAS</v>
      </c>
      <c r="D38" s="129">
        <f ca="1">IF(OFFSET(PO!O$12,ROW(D38)-ROW(D$12),0)=0,"",OFFSET(PO!O$12,ROW(D38)-ROW(D$12),0))</f>
      </c>
      <c r="E38" s="165">
        <f>IF($A38&lt;&gt;"Serviço",0,ROUND(SUMIF($F$9:$Z$9,"&lt;&gt;",$F38:$Z38),15-13*PO!$X$3))</f>
        <v>0</v>
      </c>
      <c r="F38" s="398"/>
      <c r="G38" s="398"/>
      <c r="H38" s="398"/>
      <c r="I38" s="398"/>
      <c r="J38" s="398"/>
      <c r="K38" s="398"/>
      <c r="L38" s="398"/>
      <c r="M38" s="398"/>
      <c r="N38" s="398"/>
      <c r="O38" s="398"/>
      <c r="P38" s="398"/>
      <c r="Q38" s="398"/>
      <c r="R38" s="398"/>
      <c r="S38" s="398"/>
      <c r="T38" s="398"/>
      <c r="U38" s="398"/>
      <c r="V38" s="398"/>
      <c r="W38" s="398"/>
      <c r="X38" s="398"/>
      <c r="Y38" s="398"/>
      <c r="AE38" s="215"/>
    </row>
    <row r="39" spans="1:31" s="4" customFormat="1" ht="12.75">
      <c r="A39" s="128" t="str">
        <f ca="1">OFFSET(PO!J$12,ROW(A39)-ROW($A$12),0)</f>
        <v>Serviço</v>
      </c>
      <c r="B39" s="130" t="str">
        <f ca="1">IF($A39=0,"",OFFSET(PO!K$12,ROW(B39)-ROW(B$12),0))</f>
        <v>1.7.1.</v>
      </c>
      <c r="C39" s="127" t="str">
        <f ca="1">IF(OFFSET(PO!N$12,ROW(C39)-ROW(C$12),0)=0,"",OFFSET(PO!N$12,ROW(C39)-ROW(C$12),0))</f>
        <v>RAMPADE CONCRETO SIMPLES 180X160 CM COM PISO TATIL</v>
      </c>
      <c r="D39" s="129" t="str">
        <f ca="1">IF(OFFSET(PO!O$12,ROW(D39)-ROW(D$12),0)=0,"",OFFSET(PO!O$12,ROW(D39)-ROW(D$12),0))</f>
        <v>U N</v>
      </c>
      <c r="E39" s="165">
        <f>IF($A39&lt;&gt;"Serviço",0,ROUND(SUMIF($F$9:$Z$9,"&lt;&gt;",$F39:$Z39),15-13*PO!$X$3))</f>
        <v>70</v>
      </c>
      <c r="F39" s="398">
        <v>8</v>
      </c>
      <c r="G39" s="398">
        <v>4</v>
      </c>
      <c r="H39" s="398">
        <v>0</v>
      </c>
      <c r="I39" s="398">
        <v>3</v>
      </c>
      <c r="J39" s="398">
        <v>10</v>
      </c>
      <c r="K39" s="398">
        <v>4</v>
      </c>
      <c r="L39" s="398">
        <v>2</v>
      </c>
      <c r="M39" s="398">
        <v>4</v>
      </c>
      <c r="N39" s="398">
        <v>2</v>
      </c>
      <c r="O39" s="398">
        <v>3</v>
      </c>
      <c r="P39" s="398">
        <v>2</v>
      </c>
      <c r="Q39" s="398">
        <v>0</v>
      </c>
      <c r="R39" s="398">
        <v>5</v>
      </c>
      <c r="S39" s="398">
        <v>0</v>
      </c>
      <c r="T39" s="398">
        <v>0</v>
      </c>
      <c r="U39" s="398">
        <v>14</v>
      </c>
      <c r="V39" s="398">
        <v>9</v>
      </c>
      <c r="W39" s="398"/>
      <c r="X39" s="398"/>
      <c r="Y39" s="398"/>
      <c r="AE39" s="215"/>
    </row>
    <row r="40" spans="1:31" s="4" customFormat="1" ht="25.5">
      <c r="A40" s="128" t="str">
        <f ca="1">OFFSET(PO!J$12,ROW(A40)-ROW($A$12),0)</f>
        <v>Serviço</v>
      </c>
      <c r="B40" s="130" t="str">
        <f ca="1">IF($A40=0,"",OFFSET(PO!K$12,ROW(B40)-ROW(B$12),0))</f>
        <v>1.7.2.</v>
      </c>
      <c r="C40" s="127" t="str">
        <f ca="1">IF(OFFSET(PO!N$12,ROW(C40)-ROW(C$12),0)=0,"",OFFSET(PO!N$12,ROW(C40)-ROW(C$12),0))</f>
        <v>RAMPADE CONCRETO DE ESQUINA 180X160 CM COM PISO TATIL</v>
      </c>
      <c r="D40" s="129" t="str">
        <f ca="1">IF(OFFSET(PO!O$12,ROW(D40)-ROW(D$12),0)=0,"",OFFSET(PO!O$12,ROW(D40)-ROW(D$12),0))</f>
        <v>U N</v>
      </c>
      <c r="E40" s="165">
        <f>IF($A40&lt;&gt;"Serviço",0,ROUND(SUMIF($F$9:$Z$9,"&lt;&gt;",$F40:$Z40),15-13*PO!$X$3))</f>
        <v>45</v>
      </c>
      <c r="F40" s="398">
        <v>0</v>
      </c>
      <c r="G40" s="398">
        <v>0</v>
      </c>
      <c r="H40" s="398">
        <v>4</v>
      </c>
      <c r="I40" s="398">
        <v>1</v>
      </c>
      <c r="J40" s="398">
        <v>1</v>
      </c>
      <c r="K40" s="398">
        <v>0</v>
      </c>
      <c r="L40" s="398">
        <v>2</v>
      </c>
      <c r="M40" s="398">
        <v>0</v>
      </c>
      <c r="N40" s="398">
        <v>0</v>
      </c>
      <c r="O40" s="398">
        <v>5</v>
      </c>
      <c r="P40" s="398">
        <v>7</v>
      </c>
      <c r="Q40" s="398">
        <v>0</v>
      </c>
      <c r="R40" s="398">
        <v>1</v>
      </c>
      <c r="S40" s="398">
        <v>0</v>
      </c>
      <c r="T40" s="398">
        <v>0</v>
      </c>
      <c r="U40" s="398">
        <v>9</v>
      </c>
      <c r="V40" s="398">
        <v>15</v>
      </c>
      <c r="W40" s="398"/>
      <c r="X40" s="398"/>
      <c r="Y40" s="398"/>
      <c r="AE40" s="215"/>
    </row>
    <row r="41" spans="1:31" s="4" customFormat="1" ht="12.75">
      <c r="A41" s="128" t="str">
        <f ca="1">OFFSET(PO!J$12,ROW(A41)-ROW($A$12),0)</f>
        <v>Nível 2</v>
      </c>
      <c r="B41" s="130" t="str">
        <f ca="1">IF($A41=0,"",OFFSET(PO!K$12,ROW(B41)-ROW(B$12),0))</f>
        <v>1.8.</v>
      </c>
      <c r="C41" s="127" t="str">
        <f ca="1">IF(OFFSET(PO!N$12,ROW(C41)-ROW(C$12),0)=0,"",OFFSET(PO!N$12,ROW(C41)-ROW(C$12),0))</f>
        <v>OUTROS</v>
      </c>
      <c r="D41" s="129">
        <f ca="1">IF(OFFSET(PO!O$12,ROW(D41)-ROW(D$12),0)=0,"",OFFSET(PO!O$12,ROW(D41)-ROW(D$12),0))</f>
      </c>
      <c r="E41" s="165">
        <f>IF($A41&lt;&gt;"Serviço",0,ROUND(SUMIF($F$9:$Z$9,"&lt;&gt;",$F41:$Z41),15-13*PO!$X$3))</f>
        <v>0</v>
      </c>
      <c r="F41" s="398"/>
      <c r="G41" s="398"/>
      <c r="H41" s="398"/>
      <c r="I41" s="398"/>
      <c r="J41" s="398"/>
      <c r="K41" s="398"/>
      <c r="L41" s="398"/>
      <c r="M41" s="398"/>
      <c r="N41" s="398"/>
      <c r="O41" s="398"/>
      <c r="P41" s="398"/>
      <c r="Q41" s="398"/>
      <c r="R41" s="398"/>
      <c r="S41" s="398"/>
      <c r="T41" s="398"/>
      <c r="U41" s="398"/>
      <c r="V41" s="398"/>
      <c r="W41" s="398"/>
      <c r="X41" s="398"/>
      <c r="Y41" s="398"/>
      <c r="AE41" s="215"/>
    </row>
    <row r="42" spans="1:31" s="4" customFormat="1" ht="12.75">
      <c r="A42" s="128" t="str">
        <f ca="1">OFFSET(PO!J$12,ROW(A42)-ROW($A$12),0)</f>
        <v>Serviço</v>
      </c>
      <c r="B42" s="130" t="str">
        <f ca="1">IF($A42=0,"",OFFSET(PO!K$12,ROW(B42)-ROW(B$12),0))</f>
        <v>1.8.1.</v>
      </c>
      <c r="C42" s="127" t="str">
        <f ca="1">IF(OFFSET(PO!N$12,ROW(C42)-ROW(C$12),0)=0,"",OFFSET(PO!N$12,ROW(C42)-ROW(C$12),0))</f>
        <v>TACHA REFLEXIVA</v>
      </c>
      <c r="D42" s="129" t="str">
        <f ca="1">IF(OFFSET(PO!O$12,ROW(D42)-ROW(D$12),0)=0,"",OFFSET(PO!O$12,ROW(D42)-ROW(D$12),0))</f>
        <v>U N </v>
      </c>
      <c r="E42" s="165">
        <f>IF($A42&lt;&gt;"Serviço",0,ROUND(SUMIF($F$9:$Z$9,"&lt;&gt;",$F42:$Z42),15-13*PO!$X$3))</f>
        <v>36</v>
      </c>
      <c r="F42" s="398">
        <v>0</v>
      </c>
      <c r="G42" s="398">
        <v>0</v>
      </c>
      <c r="H42" s="398">
        <v>0</v>
      </c>
      <c r="I42" s="398">
        <v>0</v>
      </c>
      <c r="J42" s="398"/>
      <c r="K42" s="398">
        <v>0</v>
      </c>
      <c r="L42" s="398">
        <v>0</v>
      </c>
      <c r="M42" s="398">
        <v>0</v>
      </c>
      <c r="N42" s="398">
        <v>36</v>
      </c>
      <c r="O42" s="398">
        <v>0</v>
      </c>
      <c r="P42" s="398">
        <v>0</v>
      </c>
      <c r="Q42" s="398">
        <v>0</v>
      </c>
      <c r="R42" s="398">
        <v>0</v>
      </c>
      <c r="S42" s="398">
        <v>0</v>
      </c>
      <c r="T42" s="398">
        <v>0</v>
      </c>
      <c r="U42" s="398">
        <v>0</v>
      </c>
      <c r="V42" s="398">
        <v>0</v>
      </c>
      <c r="W42" s="398"/>
      <c r="X42" s="398"/>
      <c r="Y42" s="398"/>
      <c r="AE42" s="215"/>
    </row>
    <row r="43" spans="1:31" s="4" customFormat="1" ht="38.25">
      <c r="A43" s="128" t="str">
        <f ca="1">OFFSET(PO!J$12,ROW(A43)-ROW($A$12),0)</f>
        <v>Serviço</v>
      </c>
      <c r="B43" s="130" t="str">
        <f ca="1">IF($A43=0,"",OFFSET(PO!K$12,ROW(B43)-ROW(B$12),0))</f>
        <v>1.8.2.</v>
      </c>
      <c r="C43" s="127" t="str">
        <f ca="1">IF(OFFSET(PO!N$12,ROW(C43)-ROW(C$12),0)=0,"",OFFSET(PO!N$12,ROW(C43)-ROW(C$12),0))</f>
        <v>EXECUÇÃO DE PASSEIO (CALÇADA) OU PISO DE CONCRETO COM CONCRETO MOLDADO IN LOCO, USINADO, ACABAMENTO CONVENCIONAL, NÃO ARMADO. AF_07/2016</v>
      </c>
      <c r="D43" s="129" t="str">
        <f ca="1">IF(OFFSET(PO!O$12,ROW(D43)-ROW(D$12),0)=0,"",OFFSET(PO!O$12,ROW(D43)-ROW(D$12),0))</f>
        <v>M3</v>
      </c>
      <c r="E43" s="165">
        <f>IF($A43&lt;&gt;"Serviço",0,ROUND(SUMIF($F$9:$Z$9,"&lt;&gt;",$F43:$Z43),15-13*PO!$X$3))</f>
        <v>9.15</v>
      </c>
      <c r="F43" s="398">
        <v>0</v>
      </c>
      <c r="G43" s="398">
        <v>0</v>
      </c>
      <c r="H43" s="398">
        <v>0</v>
      </c>
      <c r="I43" s="398">
        <v>0</v>
      </c>
      <c r="J43" s="398">
        <v>0</v>
      </c>
      <c r="K43" s="398">
        <v>0</v>
      </c>
      <c r="L43" s="398">
        <v>0</v>
      </c>
      <c r="M43" s="398">
        <v>0</v>
      </c>
      <c r="N43" s="398">
        <v>2</v>
      </c>
      <c r="O43" s="398">
        <v>0</v>
      </c>
      <c r="P43" s="398">
        <v>0</v>
      </c>
      <c r="Q43" s="398">
        <v>0</v>
      </c>
      <c r="R43" s="398">
        <v>1.8</v>
      </c>
      <c r="S43" s="398">
        <v>0</v>
      </c>
      <c r="T43" s="398">
        <v>0</v>
      </c>
      <c r="U43" s="398">
        <v>0.85</v>
      </c>
      <c r="V43" s="398">
        <v>4.5</v>
      </c>
      <c r="W43" s="398"/>
      <c r="X43" s="398"/>
      <c r="Y43" s="398"/>
      <c r="AE43" s="215"/>
    </row>
    <row r="44" spans="1:31" s="4" customFormat="1" ht="25.5">
      <c r="A44" s="128" t="str">
        <f ca="1">OFFSET(PO!J$12,ROW(A44)-ROW($A$12),0)</f>
        <v>Serviço</v>
      </c>
      <c r="B44" s="130" t="str">
        <f ca="1">IF($A44=0,"",OFFSET(PO!K$12,ROW(B44)-ROW(B$12),0))</f>
        <v>1.8.3.</v>
      </c>
      <c r="C44" s="127" t="str">
        <f ca="1">IF(OFFSET(PO!N$12,ROW(C44)-ROW(C$12),0)=0,"",OFFSET(PO!N$12,ROW(C44)-ROW(C$12),0))</f>
        <v>SINALIZACAO HORIZONTAL COM TINTA RETRORREFLETIVA A BASE DE RESINA ACRILICA COM MICROESFERAS DE VIDRO</v>
      </c>
      <c r="D44" s="129" t="str">
        <f ca="1">IF(OFFSET(PO!O$12,ROW(D44)-ROW(D$12),0)=0,"",OFFSET(PO!O$12,ROW(D44)-ROW(D$12),0))</f>
        <v>M2</v>
      </c>
      <c r="E44" s="165">
        <f>IF($A44&lt;&gt;"Serviço",0,ROUND(SUMIF($F$9:$Z$9,"&lt;&gt;",$F44:$Z44),15-13*PO!$X$3))</f>
        <v>12.2</v>
      </c>
      <c r="F44" s="398">
        <v>0</v>
      </c>
      <c r="G44" s="398">
        <v>0</v>
      </c>
      <c r="H44" s="398">
        <v>0</v>
      </c>
      <c r="I44" s="398">
        <v>0</v>
      </c>
      <c r="J44" s="398"/>
      <c r="K44" s="398">
        <v>0</v>
      </c>
      <c r="L44" s="398">
        <v>0</v>
      </c>
      <c r="M44" s="398">
        <v>0</v>
      </c>
      <c r="N44" s="398">
        <v>12.2</v>
      </c>
      <c r="O44" s="398">
        <v>0</v>
      </c>
      <c r="P44" s="398">
        <v>0</v>
      </c>
      <c r="Q44" s="398">
        <v>0</v>
      </c>
      <c r="R44" s="398">
        <v>0</v>
      </c>
      <c r="S44" s="398">
        <v>0</v>
      </c>
      <c r="T44" s="398">
        <v>0</v>
      </c>
      <c r="U44" s="398">
        <v>0</v>
      </c>
      <c r="V44" s="398">
        <v>0</v>
      </c>
      <c r="W44" s="398"/>
      <c r="X44" s="398"/>
      <c r="Y44" s="398"/>
      <c r="AE44" s="215"/>
    </row>
    <row r="45" spans="1:31" s="4" customFormat="1" ht="25.5">
      <c r="A45" s="128" t="str">
        <f ca="1">OFFSET(PO!J$12,ROW(A45)-ROW($A$12),0)</f>
        <v>Serviço</v>
      </c>
      <c r="B45" s="130" t="str">
        <f ca="1">IF($A45=0,"",OFFSET(PO!K$12,ROW(B45)-ROW(B$12),0))</f>
        <v>1.8.4.</v>
      </c>
      <c r="C45" s="127" t="str">
        <f ca="1">IF(OFFSET(PO!N$12,ROW(C45)-ROW(C$12),0)=0,"",OFFSET(PO!N$12,ROW(C45)-ROW(C$12),0))</f>
        <v>GRAMA ESMERALDA OU SAO CARLOS OU CURITIBANA, EM PLACAS, SEM PLANTIO</v>
      </c>
      <c r="D45" s="129" t="str">
        <f ca="1">IF(OFFSET(PO!O$12,ROW(D45)-ROW(D$12),0)=0,"",OFFSET(PO!O$12,ROW(D45)-ROW(D$12),0))</f>
        <v>M2    </v>
      </c>
      <c r="E45" s="165">
        <f>IF($A45&lt;&gt;"Serviço",0,ROUND(SUMIF($F$9:$Z$9,"&lt;&gt;",$F45:$Z45),15-13*PO!$X$3))</f>
        <v>927</v>
      </c>
      <c r="F45" s="398"/>
      <c r="G45" s="398"/>
      <c r="H45" s="398">
        <v>556</v>
      </c>
      <c r="I45" s="398"/>
      <c r="J45" s="398">
        <v>76</v>
      </c>
      <c r="K45" s="398"/>
      <c r="L45" s="398"/>
      <c r="M45" s="398"/>
      <c r="N45" s="398"/>
      <c r="O45" s="398"/>
      <c r="P45" s="398">
        <v>0</v>
      </c>
      <c r="Q45" s="398"/>
      <c r="R45" s="398"/>
      <c r="S45" s="398"/>
      <c r="T45" s="398">
        <v>0</v>
      </c>
      <c r="U45" s="398">
        <v>195</v>
      </c>
      <c r="V45" s="398">
        <v>100</v>
      </c>
      <c r="W45" s="398"/>
      <c r="X45" s="398"/>
      <c r="Y45" s="398"/>
      <c r="AE45" s="215"/>
    </row>
    <row r="46" spans="1:31" s="4" customFormat="1" ht="25.5">
      <c r="A46" s="128" t="str">
        <f ca="1">OFFSET(PO!J$12,ROW(A46)-ROW($A$12),0)</f>
        <v>Serviço</v>
      </c>
      <c r="B46" s="130" t="str">
        <f ca="1">IF($A46=0,"",OFFSET(PO!K$12,ROW(B46)-ROW(B$12),0))</f>
        <v>1.8.5.</v>
      </c>
      <c r="C46" s="127" t="str">
        <f ca="1">IF(OFFSET(PO!N$12,ROW(C46)-ROW(C$12),0)=0,"",OFFSET(PO!N$12,ROW(C46)-ROW(C$12),0))</f>
        <v>DEMOLIÇÃO PARCIAL DE PAVIMENTO ASFÁLTICO, DE FORMA MECANIZADA, SEM REAPROVEITAMENTO. AF_12/2017</v>
      </c>
      <c r="D46" s="129" t="str">
        <f ca="1">IF(OFFSET(PO!O$12,ROW(D46)-ROW(D$12),0)=0,"",OFFSET(PO!O$12,ROW(D46)-ROW(D$12),0))</f>
        <v>M2</v>
      </c>
      <c r="E46" s="165">
        <f>IF($A46&lt;&gt;"Serviço",0,ROUND(SUMIF($F$9:$Z$9,"&lt;&gt;",$F46:$Z46),15-13*PO!$X$3))</f>
        <v>1273</v>
      </c>
      <c r="F46" s="398"/>
      <c r="G46" s="398"/>
      <c r="H46" s="398">
        <v>533</v>
      </c>
      <c r="I46" s="398"/>
      <c r="J46" s="398">
        <v>80</v>
      </c>
      <c r="K46" s="398"/>
      <c r="L46" s="398"/>
      <c r="M46" s="398"/>
      <c r="N46" s="398"/>
      <c r="O46" s="398"/>
      <c r="P46" s="398">
        <v>0</v>
      </c>
      <c r="Q46" s="398"/>
      <c r="R46" s="398"/>
      <c r="S46" s="398"/>
      <c r="T46" s="398">
        <v>0</v>
      </c>
      <c r="U46" s="398">
        <v>560</v>
      </c>
      <c r="V46" s="398">
        <v>100</v>
      </c>
      <c r="W46" s="398"/>
      <c r="X46" s="398"/>
      <c r="Y46" s="398"/>
      <c r="AE46" s="215"/>
    </row>
    <row r="47" spans="1:31" s="4" customFormat="1" ht="38.25">
      <c r="A47" s="128" t="str">
        <f ca="1">OFFSET(PO!J$12,ROW(A47)-ROW($A$12),0)</f>
        <v>Serviço</v>
      </c>
      <c r="B47" s="130" t="str">
        <f ca="1">IF($A47=0,"",OFFSET(PO!K$12,ROW(B47)-ROW(B$12),0))</f>
        <v>1.8.6.</v>
      </c>
      <c r="C47" s="127" t="str">
        <f ca="1">IF(OFFSET(PO!N$12,ROW(C47)-ROW(C$12),0)=0,"",OFFSET(PO!N$12,ROW(C47)-ROW(C$12),0))</f>
        <v>GUIA (MEIO-FIO) CONCRETO, MOLDADA  IN LOCO  EM TRECHO CURVO COM EXTRUSORA, 13 CM BASE X 22 CM ALTURA. AF_06/2016</v>
      </c>
      <c r="D47" s="129" t="str">
        <f ca="1">IF(OFFSET(PO!O$12,ROW(D47)-ROW(D$12),0)=0,"",OFFSET(PO!O$12,ROW(D47)-ROW(D$12),0))</f>
        <v>M</v>
      </c>
      <c r="E47" s="165">
        <f>IF($A47&lt;&gt;"Serviço",0,ROUND(SUMIF($F$9:$Z$9,"&lt;&gt;",$F47:$Z47),15-13*PO!$X$3))</f>
        <v>100</v>
      </c>
      <c r="F47" s="398"/>
      <c r="G47" s="398"/>
      <c r="H47" s="398"/>
      <c r="I47" s="398"/>
      <c r="J47" s="398">
        <v>40</v>
      </c>
      <c r="K47" s="398"/>
      <c r="L47" s="398"/>
      <c r="M47" s="398"/>
      <c r="N47" s="398"/>
      <c r="O47" s="398"/>
      <c r="P47" s="398">
        <v>0</v>
      </c>
      <c r="Q47" s="398"/>
      <c r="R47" s="398"/>
      <c r="S47" s="398"/>
      <c r="T47" s="398">
        <v>0</v>
      </c>
      <c r="U47" s="398"/>
      <c r="V47" s="398">
        <v>60</v>
      </c>
      <c r="W47" s="398"/>
      <c r="X47" s="398"/>
      <c r="Y47" s="398"/>
      <c r="AE47" s="215"/>
    </row>
    <row r="48" spans="1:31" s="4" customFormat="1" ht="38.25">
      <c r="A48" s="128" t="str">
        <f ca="1">OFFSET(PO!J$12,ROW(A48)-ROW($A$12),0)</f>
        <v>Serviço</v>
      </c>
      <c r="B48" s="130" t="str">
        <f ca="1">IF($A48=0,"",OFFSET(PO!K$12,ROW(B48)-ROW(B$12),0))</f>
        <v>1.8.7.</v>
      </c>
      <c r="C48" s="127" t="str">
        <f ca="1">IF(OFFSET(PO!N$12,ROW(C48)-ROW(C$12),0)=0,"",OFFSET(PO!N$12,ROW(C48)-ROW(C$12),0))</f>
        <v>EXECUÇÃO DE SARJETÃO DE CONCRETO USINADO, MOLDADA  IN LOCO  EM TRECHO RETO, 100 CM BASE X 20 CM ALTURA. AF_06/2016</v>
      </c>
      <c r="D48" s="129" t="str">
        <f ca="1">IF(OFFSET(PO!O$12,ROW(D48)-ROW(D$12),0)=0,"",OFFSET(PO!O$12,ROW(D48)-ROW(D$12),0))</f>
        <v>M</v>
      </c>
      <c r="E48" s="165">
        <f>IF($A48&lt;&gt;"Serviço",0,ROUND(SUMIF($F$9:$Z$9,"&lt;&gt;",$F48:$Z48),15-13*PO!$X$3))</f>
        <v>75</v>
      </c>
      <c r="F48" s="398"/>
      <c r="G48" s="398"/>
      <c r="H48" s="398"/>
      <c r="I48" s="398"/>
      <c r="J48" s="398"/>
      <c r="K48" s="398"/>
      <c r="L48" s="398"/>
      <c r="M48" s="398"/>
      <c r="N48" s="398"/>
      <c r="O48" s="398"/>
      <c r="P48" s="398"/>
      <c r="Q48" s="398"/>
      <c r="R48" s="398"/>
      <c r="S48" s="398"/>
      <c r="T48" s="398"/>
      <c r="U48" s="398"/>
      <c r="V48" s="398">
        <v>75</v>
      </c>
      <c r="W48" s="398"/>
      <c r="X48" s="398"/>
      <c r="Y48" s="398"/>
      <c r="AE48" s="215"/>
    </row>
    <row r="49" spans="1:31" s="4" customFormat="1" ht="51">
      <c r="A49" s="128" t="str">
        <f ca="1">OFFSET(PO!J$12,ROW(A49)-ROW($A$12),0)</f>
        <v>Serviço</v>
      </c>
      <c r="B49" s="130" t="str">
        <f ca="1">IF($A49=0,"",OFFSET(PO!K$12,ROW(B49)-ROW(B$12),0))</f>
        <v>1.8.8.</v>
      </c>
      <c r="C49" s="127" t="str">
        <f ca="1">IF(OFFSET(PO!N$12,ROW(C49)-ROW(C$12),0)=0,"",OFFSET(PO!N$12,ROW(C49)-ROW(C$12),0))</f>
        <v>BOCA PARA BUEIRO SIMPLES TUBULAR, DIAMETRO =0,80M, EM CONCRETO CICLOPICO, INCLUINDO FORMAS, ESCAVACAO, REATERRO E MATERIAIS, EXCLUINDO MATERIAL REATERRO JAZIDA E TRANSPORTE.</v>
      </c>
      <c r="D49" s="129" t="str">
        <f ca="1">IF(OFFSET(PO!O$12,ROW(D49)-ROW(D$12),0)=0,"",OFFSET(PO!O$12,ROW(D49)-ROW(D$12),0))</f>
        <v>UN</v>
      </c>
      <c r="E49" s="165">
        <f>IF($A49&lt;&gt;"Serviço",0,ROUND(SUMIF($F$9:$Z$9,"&lt;&gt;",$F49:$Z49),15-13*PO!$X$3))</f>
        <v>2</v>
      </c>
      <c r="F49" s="398"/>
      <c r="G49" s="398"/>
      <c r="H49" s="398"/>
      <c r="I49" s="398"/>
      <c r="J49" s="398"/>
      <c r="K49" s="398"/>
      <c r="L49" s="398"/>
      <c r="M49" s="398"/>
      <c r="N49" s="398"/>
      <c r="O49" s="398"/>
      <c r="P49" s="398"/>
      <c r="Q49" s="398"/>
      <c r="R49" s="398"/>
      <c r="S49" s="398"/>
      <c r="T49" s="398"/>
      <c r="U49" s="398"/>
      <c r="V49" s="398">
        <v>2</v>
      </c>
      <c r="W49" s="398"/>
      <c r="X49" s="398"/>
      <c r="Y49" s="398"/>
      <c r="AE49" s="215"/>
    </row>
    <row r="50" spans="1:31" s="4" customFormat="1" ht="12.7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AE50" s="83"/>
    </row>
    <row r="51" spans="2:31" s="4" customFormat="1" ht="12.75">
      <c r="B51" s="9"/>
      <c r="C51" s="14"/>
      <c r="D51" s="9"/>
      <c r="E51" s="16"/>
      <c r="F51" s="16"/>
      <c r="G51" s="16"/>
      <c r="H51" s="16"/>
      <c r="I51" s="16"/>
      <c r="J51" s="16"/>
      <c r="K51" s="16"/>
      <c r="L51" s="16"/>
      <c r="M51" s="16"/>
      <c r="N51" s="16"/>
      <c r="O51" s="16"/>
      <c r="P51" s="16"/>
      <c r="Q51" s="16"/>
      <c r="R51" s="16"/>
      <c r="S51" s="16"/>
      <c r="T51" s="16"/>
      <c r="U51" s="16"/>
      <c r="V51" s="16"/>
      <c r="W51" s="16"/>
      <c r="X51" s="16"/>
      <c r="Y51" s="16"/>
      <c r="AE51" s="16"/>
    </row>
    <row r="52" spans="2:31" s="4" customFormat="1" ht="12.75">
      <c r="B52" s="371" t="str">
        <f>PO!$K$61</f>
        <v>NAVIRAÍ - MS</v>
      </c>
      <c r="C52" s="371"/>
      <c r="D52" s="9"/>
      <c r="E52" s="16"/>
      <c r="F52" s="16"/>
      <c r="G52" s="16"/>
      <c r="H52" s="16"/>
      <c r="I52" s="16"/>
      <c r="J52" s="16"/>
      <c r="K52" s="16"/>
      <c r="L52" s="16"/>
      <c r="M52" s="16"/>
      <c r="N52" s="16"/>
      <c r="O52" s="16"/>
      <c r="P52" s="16"/>
      <c r="Q52" s="16"/>
      <c r="R52" s="16"/>
      <c r="S52" s="16"/>
      <c r="T52" s="16"/>
      <c r="U52" s="16"/>
      <c r="V52" s="16"/>
      <c r="W52" s="16"/>
      <c r="X52" s="16"/>
      <c r="Y52" s="16"/>
      <c r="AE52" s="16"/>
    </row>
    <row r="53" spans="2:31" s="4" customFormat="1" ht="12.75">
      <c r="B53" s="113" t="s">
        <v>121</v>
      </c>
      <c r="C53" s="14"/>
      <c r="D53" s="9"/>
      <c r="E53" s="16"/>
      <c r="F53" s="16"/>
      <c r="G53" s="16"/>
      <c r="H53" s="16"/>
      <c r="I53" s="16"/>
      <c r="J53" s="16"/>
      <c r="K53" s="16"/>
      <c r="L53" s="16"/>
      <c r="M53" s="16"/>
      <c r="N53" s="16"/>
      <c r="O53" s="16"/>
      <c r="P53" s="16"/>
      <c r="Q53" s="16"/>
      <c r="R53" s="16"/>
      <c r="S53" s="16"/>
      <c r="T53" s="16"/>
      <c r="U53" s="16"/>
      <c r="V53" s="16"/>
      <c r="W53" s="16"/>
      <c r="X53" s="16"/>
      <c r="Y53" s="16"/>
      <c r="AE53" s="16"/>
    </row>
    <row r="54" spans="2:31" s="4" customFormat="1" ht="12.75">
      <c r="B54" s="14"/>
      <c r="C54" s="14"/>
      <c r="D54" s="9"/>
      <c r="E54" s="16"/>
      <c r="F54" s="16"/>
      <c r="G54" s="16"/>
      <c r="H54" s="16"/>
      <c r="I54" s="16"/>
      <c r="J54" s="16"/>
      <c r="K54" s="16"/>
      <c r="L54" s="16"/>
      <c r="M54" s="16"/>
      <c r="N54" s="16"/>
      <c r="O54" s="16"/>
      <c r="P54" s="16"/>
      <c r="Q54" s="16"/>
      <c r="R54" s="16"/>
      <c r="S54" s="16"/>
      <c r="T54" s="16"/>
      <c r="U54" s="16"/>
      <c r="V54" s="16"/>
      <c r="W54" s="16"/>
      <c r="X54" s="16"/>
      <c r="Y54" s="16"/>
      <c r="AE54" s="16"/>
    </row>
    <row r="55" spans="2:31" s="4" customFormat="1" ht="12.75">
      <c r="B55" s="372">
        <f>PO!$K$64</f>
        <v>43979</v>
      </c>
      <c r="C55" s="372"/>
      <c r="D55" s="9"/>
      <c r="E55" s="16"/>
      <c r="F55" s="16"/>
      <c r="G55" s="16"/>
      <c r="H55" s="16"/>
      <c r="I55" s="16"/>
      <c r="J55" s="16"/>
      <c r="K55" s="16"/>
      <c r="L55" s="16"/>
      <c r="M55" s="16"/>
      <c r="N55" s="16"/>
      <c r="O55" s="16"/>
      <c r="P55" s="16"/>
      <c r="Q55" s="16"/>
      <c r="R55" s="16"/>
      <c r="S55" s="16"/>
      <c r="T55" s="16"/>
      <c r="U55" s="16"/>
      <c r="V55" s="16"/>
      <c r="W55" s="16"/>
      <c r="X55" s="16"/>
      <c r="Y55" s="16"/>
      <c r="AE55" s="16"/>
    </row>
    <row r="56" spans="2:31" s="4" customFormat="1" ht="12.75">
      <c r="B56" s="142" t="s">
        <v>122</v>
      </c>
      <c r="C56" s="143"/>
      <c r="D56" s="9"/>
      <c r="E56" s="16"/>
      <c r="F56" s="16"/>
      <c r="G56" s="16"/>
      <c r="H56" s="16"/>
      <c r="I56" s="16"/>
      <c r="J56" s="16"/>
      <c r="K56" s="16"/>
      <c r="L56" s="16"/>
      <c r="M56" s="16"/>
      <c r="N56" s="16"/>
      <c r="O56" s="16"/>
      <c r="P56" s="16"/>
      <c r="Q56" s="16"/>
      <c r="R56" s="16"/>
      <c r="S56" s="16"/>
      <c r="T56" s="16"/>
      <c r="U56" s="16"/>
      <c r="V56" s="16"/>
      <c r="W56" s="16"/>
      <c r="X56" s="16"/>
      <c r="Y56" s="16"/>
      <c r="AE56" s="16"/>
    </row>
  </sheetData>
  <sheetProtection password="C95B" sheet="1" objects="1" scenarios="1"/>
  <mergeCells count="2">
    <mergeCell ref="B52:C52"/>
    <mergeCell ref="B55:C55"/>
  </mergeCells>
  <conditionalFormatting sqref="D11:E11 D13:E14 D26:E26 D20:E20 D43:E43 D49:E49 D31:E34">
    <cfRule type="expression" priority="4101" dxfId="108" stopIfTrue="1">
      <formula>$A11="Meta"</formula>
    </cfRule>
    <cfRule type="expression" priority="4102" dxfId="107" stopIfTrue="1">
      <formula>$A11&lt;&gt;"Serviço"</formula>
    </cfRule>
  </conditionalFormatting>
  <conditionalFormatting sqref="C11 C13:C14 C26 C20 C43 C49 C31:C34">
    <cfRule type="expression" priority="4103" dxfId="104" stopIfTrue="1">
      <formula>$A11="Meta"</formula>
    </cfRule>
    <cfRule type="expression" priority="4104" dxfId="103" stopIfTrue="1">
      <formula>$A11&lt;&gt;"Serviço"</formula>
    </cfRule>
  </conditionalFormatting>
  <conditionalFormatting sqref="A11:B11 A13:B14 A26:B26 A20:B20 A43:B43 A49:B49 A31:B34">
    <cfRule type="expression" priority="4105" dxfId="104" stopIfTrue="1">
      <formula>$A11="Meta"</formula>
    </cfRule>
    <cfRule type="expression" priority="4106" dxfId="103" stopIfTrue="1">
      <formula>LEFT($A11,5)="Nível"</formula>
    </cfRule>
    <cfRule type="expression" priority="4107" dxfId="102" stopIfTrue="1">
      <formula>$A11=0</formula>
    </cfRule>
  </conditionalFormatting>
  <conditionalFormatting sqref="F13:O14 F17:O17 AE11 AE13:AE17 F20:Y49 AE20:AE49">
    <cfRule type="expression" priority="4117" dxfId="108" stopIfTrue="1">
      <formula>$A11="Meta"</formula>
    </cfRule>
    <cfRule type="expression" priority="4118" dxfId="102" stopIfTrue="1">
      <formula>OR(F$9=0,$A11&lt;&gt;"Serviço")</formula>
    </cfRule>
    <cfRule type="expression" priority="4119" dxfId="5" stopIfTrue="1">
      <formula>TipoOrçamento="Licitado"</formula>
    </cfRule>
  </conditionalFormatting>
  <conditionalFormatting sqref="AE9 I9:O9">
    <cfRule type="expression" priority="3539" dxfId="102" stopIfTrue="1">
      <formula>AND(H9=0,I9=0)</formula>
    </cfRule>
    <cfRule type="expression" priority="3540" dxfId="5" stopIfTrue="1">
      <formula>TipoOrçamento="Licitado"</formula>
    </cfRule>
  </conditionalFormatting>
  <conditionalFormatting sqref="F11:O11">
    <cfRule type="expression" priority="3499" dxfId="108" stopIfTrue="1">
      <formula>$A11="Meta"</formula>
    </cfRule>
    <cfRule type="expression" priority="3500" dxfId="102" stopIfTrue="1">
      <formula>OR(F$9=0,$A11&lt;&gt;"Serviço")</formula>
    </cfRule>
    <cfRule type="expression" priority="3501" dxfId="5" stopIfTrue="1">
      <formula>TipoOrçamento="Licitado"</formula>
    </cfRule>
  </conditionalFormatting>
  <conditionalFormatting sqref="F9:H9">
    <cfRule type="expression" priority="3383" dxfId="102" stopIfTrue="1">
      <formula>AND(E9=0,F9=0)</formula>
    </cfRule>
    <cfRule type="expression" priority="3384" dxfId="5" stopIfTrue="1">
      <formula>TipoOrçamento="Licitado"</formula>
    </cfRule>
  </conditionalFormatting>
  <conditionalFormatting sqref="D15:E16">
    <cfRule type="expression" priority="1374" dxfId="108" stopIfTrue="1">
      <formula>$A15="Meta"</formula>
    </cfRule>
    <cfRule type="expression" priority="1375" dxfId="107" stopIfTrue="1">
      <formula>$A15&lt;&gt;"Serviço"</formula>
    </cfRule>
  </conditionalFormatting>
  <conditionalFormatting sqref="C15:C16">
    <cfRule type="expression" priority="1376" dxfId="104" stopIfTrue="1">
      <formula>$A15="Meta"</formula>
    </cfRule>
    <cfRule type="expression" priority="1377" dxfId="103" stopIfTrue="1">
      <formula>$A15&lt;&gt;"Serviço"</formula>
    </cfRule>
  </conditionalFormatting>
  <conditionalFormatting sqref="A15:B16">
    <cfRule type="expression" priority="1378" dxfId="104" stopIfTrue="1">
      <formula>$A15="Meta"</formula>
    </cfRule>
    <cfRule type="expression" priority="1379" dxfId="103" stopIfTrue="1">
      <formula>LEFT($A15,5)="Nível"</formula>
    </cfRule>
    <cfRule type="expression" priority="1380" dxfId="102" stopIfTrue="1">
      <formula>$A15=0</formula>
    </cfRule>
  </conditionalFormatting>
  <conditionalFormatting sqref="F15:O16">
    <cfRule type="expression" priority="1371" dxfId="108" stopIfTrue="1">
      <formula>$A15="Meta"</formula>
    </cfRule>
    <cfRule type="expression" priority="1372" dxfId="102" stopIfTrue="1">
      <formula>OR(F$9=0,$A15&lt;&gt;"Serviço")</formula>
    </cfRule>
    <cfRule type="expression" priority="1373" dxfId="5" stopIfTrue="1">
      <formula>TipoOrçamento="Licitado"</formula>
    </cfRule>
  </conditionalFormatting>
  <conditionalFormatting sqref="D17:E17">
    <cfRule type="expression" priority="1257" dxfId="108" stopIfTrue="1">
      <formula>$A17="Meta"</formula>
    </cfRule>
    <cfRule type="expression" priority="1258" dxfId="107" stopIfTrue="1">
      <formula>$A17&lt;&gt;"Serviço"</formula>
    </cfRule>
  </conditionalFormatting>
  <conditionalFormatting sqref="C17">
    <cfRule type="expression" priority="1259" dxfId="104" stopIfTrue="1">
      <formula>$A17="Meta"</formula>
    </cfRule>
    <cfRule type="expression" priority="1260" dxfId="103" stopIfTrue="1">
      <formula>$A17&lt;&gt;"Serviço"</formula>
    </cfRule>
  </conditionalFormatting>
  <conditionalFormatting sqref="A17:B17">
    <cfRule type="expression" priority="1261" dxfId="104" stopIfTrue="1">
      <formula>$A17="Meta"</formula>
    </cfRule>
    <cfRule type="expression" priority="1262" dxfId="103" stopIfTrue="1">
      <formula>LEFT($A17,5)="Nível"</formula>
    </cfRule>
    <cfRule type="expression" priority="1263" dxfId="102" stopIfTrue="1">
      <formula>$A17=0</formula>
    </cfRule>
  </conditionalFormatting>
  <conditionalFormatting sqref="D22:E22">
    <cfRule type="expression" priority="1231" dxfId="108" stopIfTrue="1">
      <formula>$A22="Meta"</formula>
    </cfRule>
    <cfRule type="expression" priority="1232" dxfId="107" stopIfTrue="1">
      <formula>$A22&lt;&gt;"Serviço"</formula>
    </cfRule>
  </conditionalFormatting>
  <conditionalFormatting sqref="C22">
    <cfRule type="expression" priority="1233" dxfId="104" stopIfTrue="1">
      <formula>$A22="Meta"</formula>
    </cfRule>
    <cfRule type="expression" priority="1234" dxfId="103" stopIfTrue="1">
      <formula>$A22&lt;&gt;"Serviço"</formula>
    </cfRule>
  </conditionalFormatting>
  <conditionalFormatting sqref="A22:B22">
    <cfRule type="expression" priority="1235" dxfId="104" stopIfTrue="1">
      <formula>$A22="Meta"</formula>
    </cfRule>
    <cfRule type="expression" priority="1236" dxfId="103" stopIfTrue="1">
      <formula>LEFT($A22,5)="Nível"</formula>
    </cfRule>
    <cfRule type="expression" priority="1237" dxfId="102" stopIfTrue="1">
      <formula>$A22=0</formula>
    </cfRule>
  </conditionalFormatting>
  <conditionalFormatting sqref="D21:E21">
    <cfRule type="expression" priority="1131" dxfId="108" stopIfTrue="1">
      <formula>$A21="Meta"</formula>
    </cfRule>
    <cfRule type="expression" priority="1132" dxfId="107" stopIfTrue="1">
      <formula>$A21&lt;&gt;"Serviço"</formula>
    </cfRule>
  </conditionalFormatting>
  <conditionalFormatting sqref="C21">
    <cfRule type="expression" priority="1133" dxfId="104" stopIfTrue="1">
      <formula>$A21="Meta"</formula>
    </cfRule>
    <cfRule type="expression" priority="1134" dxfId="103" stopIfTrue="1">
      <formula>$A21&lt;&gt;"Serviço"</formula>
    </cfRule>
  </conditionalFormatting>
  <conditionalFormatting sqref="A21:B21">
    <cfRule type="expression" priority="1135" dxfId="104" stopIfTrue="1">
      <formula>$A21="Meta"</formula>
    </cfRule>
    <cfRule type="expression" priority="1136" dxfId="103" stopIfTrue="1">
      <formula>LEFT($A21,5)="Nível"</formula>
    </cfRule>
    <cfRule type="expression" priority="1137" dxfId="102" stopIfTrue="1">
      <formula>$A21=0</formula>
    </cfRule>
  </conditionalFormatting>
  <conditionalFormatting sqref="D27:E28 D30:E30">
    <cfRule type="expression" priority="923" dxfId="108" stopIfTrue="1">
      <formula>$A27="Meta"</formula>
    </cfRule>
    <cfRule type="expression" priority="924" dxfId="107" stopIfTrue="1">
      <formula>$A27&lt;&gt;"Serviço"</formula>
    </cfRule>
  </conditionalFormatting>
  <conditionalFormatting sqref="C27:C28 C30">
    <cfRule type="expression" priority="925" dxfId="104" stopIfTrue="1">
      <formula>$A27="Meta"</formula>
    </cfRule>
    <cfRule type="expression" priority="926" dxfId="103" stopIfTrue="1">
      <formula>$A27&lt;&gt;"Serviço"</formula>
    </cfRule>
  </conditionalFormatting>
  <conditionalFormatting sqref="A27:B28 A30:B30">
    <cfRule type="expression" priority="927" dxfId="104" stopIfTrue="1">
      <formula>$A27="Meta"</formula>
    </cfRule>
    <cfRule type="expression" priority="928" dxfId="103" stopIfTrue="1">
      <formula>LEFT($A27,5)="Nível"</formula>
    </cfRule>
    <cfRule type="expression" priority="929" dxfId="102" stopIfTrue="1">
      <formula>$A27=0</formula>
    </cfRule>
  </conditionalFormatting>
  <conditionalFormatting sqref="D44:E44">
    <cfRule type="expression" priority="828" dxfId="108" stopIfTrue="1">
      <formula>$A44="Meta"</formula>
    </cfRule>
    <cfRule type="expression" priority="829" dxfId="107" stopIfTrue="1">
      <formula>$A44&lt;&gt;"Serviço"</formula>
    </cfRule>
  </conditionalFormatting>
  <conditionalFormatting sqref="C44">
    <cfRule type="expression" priority="830" dxfId="104" stopIfTrue="1">
      <formula>$A44="Meta"</formula>
    </cfRule>
    <cfRule type="expression" priority="831" dxfId="103" stopIfTrue="1">
      <formula>$A44&lt;&gt;"Serviço"</formula>
    </cfRule>
  </conditionalFormatting>
  <conditionalFormatting sqref="A44:B44">
    <cfRule type="expression" priority="832" dxfId="104" stopIfTrue="1">
      <formula>$A44="Meta"</formula>
    </cfRule>
    <cfRule type="expression" priority="833" dxfId="103" stopIfTrue="1">
      <formula>LEFT($A44,5)="Nível"</formula>
    </cfRule>
    <cfRule type="expression" priority="834" dxfId="102" stopIfTrue="1">
      <formula>$A44=0</formula>
    </cfRule>
  </conditionalFormatting>
  <conditionalFormatting sqref="D42:E42">
    <cfRule type="expression" priority="714" dxfId="108" stopIfTrue="1">
      <formula>$A42="Meta"</formula>
    </cfRule>
    <cfRule type="expression" priority="715" dxfId="107" stopIfTrue="1">
      <formula>$A42&lt;&gt;"Serviço"</formula>
    </cfRule>
  </conditionalFormatting>
  <conditionalFormatting sqref="C42">
    <cfRule type="expression" priority="716" dxfId="104" stopIfTrue="1">
      <formula>$A42="Meta"</formula>
    </cfRule>
    <cfRule type="expression" priority="717" dxfId="103" stopIfTrue="1">
      <formula>$A42&lt;&gt;"Serviço"</formula>
    </cfRule>
  </conditionalFormatting>
  <conditionalFormatting sqref="A42:B42">
    <cfRule type="expression" priority="718" dxfId="104" stopIfTrue="1">
      <formula>$A42="Meta"</formula>
    </cfRule>
    <cfRule type="expression" priority="719" dxfId="103" stopIfTrue="1">
      <formula>LEFT($A42,5)="Nível"</formula>
    </cfRule>
    <cfRule type="expression" priority="720" dxfId="102" stopIfTrue="1">
      <formula>$A42=0</formula>
    </cfRule>
  </conditionalFormatting>
  <conditionalFormatting sqref="D23:E24">
    <cfRule type="expression" priority="412" dxfId="108" stopIfTrue="1">
      <formula>$A23="Meta"</formula>
    </cfRule>
    <cfRule type="expression" priority="413" dxfId="107" stopIfTrue="1">
      <formula>$A23&lt;&gt;"Serviço"</formula>
    </cfRule>
  </conditionalFormatting>
  <conditionalFormatting sqref="C23:C24">
    <cfRule type="expression" priority="414" dxfId="104" stopIfTrue="1">
      <formula>$A23="Meta"</formula>
    </cfRule>
    <cfRule type="expression" priority="415" dxfId="103" stopIfTrue="1">
      <formula>$A23&lt;&gt;"Serviço"</formula>
    </cfRule>
  </conditionalFormatting>
  <conditionalFormatting sqref="A23:B24">
    <cfRule type="expression" priority="416" dxfId="104" stopIfTrue="1">
      <formula>$A23="Meta"</formula>
    </cfRule>
    <cfRule type="expression" priority="417" dxfId="103" stopIfTrue="1">
      <formula>LEFT($A23,5)="Nível"</formula>
    </cfRule>
    <cfRule type="expression" priority="418" dxfId="102" stopIfTrue="1">
      <formula>$A23=0</formula>
    </cfRule>
  </conditionalFormatting>
  <conditionalFormatting sqref="P13:Y14 P17:S17 U17:Y17">
    <cfRule type="expression" priority="406" dxfId="108" stopIfTrue="1">
      <formula>$A13="Meta"</formula>
    </cfRule>
    <cfRule type="expression" priority="407" dxfId="102" stopIfTrue="1">
      <formula>OR(P$9=0,$A13&lt;&gt;"Serviço")</formula>
    </cfRule>
    <cfRule type="expression" priority="408" dxfId="5" stopIfTrue="1">
      <formula>TipoOrçamento="Licitado"</formula>
    </cfRule>
  </conditionalFormatting>
  <conditionalFormatting sqref="S9:Y9">
    <cfRule type="expression" priority="404" dxfId="102" stopIfTrue="1">
      <formula>AND(R9=0,S9=0)</formula>
    </cfRule>
    <cfRule type="expression" priority="405" dxfId="5" stopIfTrue="1">
      <formula>TipoOrçamento="Licitado"</formula>
    </cfRule>
  </conditionalFormatting>
  <conditionalFormatting sqref="P11:Y11">
    <cfRule type="expression" priority="401" dxfId="108" stopIfTrue="1">
      <formula>$A11="Meta"</formula>
    </cfRule>
    <cfRule type="expression" priority="402" dxfId="102" stopIfTrue="1">
      <formula>OR(P$9=0,$A11&lt;&gt;"Serviço")</formula>
    </cfRule>
    <cfRule type="expression" priority="403" dxfId="5" stopIfTrue="1">
      <formula>TipoOrçamento="Licitado"</formula>
    </cfRule>
  </conditionalFormatting>
  <conditionalFormatting sqref="P9:R9">
    <cfRule type="expression" priority="399" dxfId="102" stopIfTrue="1">
      <formula>AND(O9=0,P9=0)</formula>
    </cfRule>
    <cfRule type="expression" priority="400" dxfId="5" stopIfTrue="1">
      <formula>TipoOrçamento="Licitado"</formula>
    </cfRule>
  </conditionalFormatting>
  <conditionalFormatting sqref="P15:S16 U15:Y16">
    <cfRule type="expression" priority="396" dxfId="108" stopIfTrue="1">
      <formula>$A15="Meta"</formula>
    </cfRule>
    <cfRule type="expression" priority="397" dxfId="102" stopIfTrue="1">
      <formula>OR(P$9=0,$A15&lt;&gt;"Serviço")</formula>
    </cfRule>
    <cfRule type="expression" priority="398" dxfId="5" stopIfTrue="1">
      <formula>TipoOrçamento="Licitado"</formula>
    </cfRule>
  </conditionalFormatting>
  <conditionalFormatting sqref="D29:E29">
    <cfRule type="expression" priority="365" dxfId="108" stopIfTrue="1">
      <formula>$A29="Meta"</formula>
    </cfRule>
    <cfRule type="expression" priority="366" dxfId="107" stopIfTrue="1">
      <formula>$A29&lt;&gt;"Serviço"</formula>
    </cfRule>
  </conditionalFormatting>
  <conditionalFormatting sqref="C29">
    <cfRule type="expression" priority="367" dxfId="104" stopIfTrue="1">
      <formula>$A29="Meta"</formula>
    </cfRule>
    <cfRule type="expression" priority="368" dxfId="103" stopIfTrue="1">
      <formula>$A29&lt;&gt;"Serviço"</formula>
    </cfRule>
  </conditionalFormatting>
  <conditionalFormatting sqref="A29:B29">
    <cfRule type="expression" priority="369" dxfId="104" stopIfTrue="1">
      <formula>$A29="Meta"</formula>
    </cfRule>
    <cfRule type="expression" priority="370" dxfId="103" stopIfTrue="1">
      <formula>LEFT($A29,5)="Nível"</formula>
    </cfRule>
    <cfRule type="expression" priority="371" dxfId="102" stopIfTrue="1">
      <formula>$A29=0</formula>
    </cfRule>
  </conditionalFormatting>
  <conditionalFormatting sqref="D41:E41">
    <cfRule type="expression" priority="349" dxfId="108" stopIfTrue="1">
      <formula>$A41="Meta"</formula>
    </cfRule>
    <cfRule type="expression" priority="350" dxfId="107" stopIfTrue="1">
      <formula>$A41&lt;&gt;"Serviço"</formula>
    </cfRule>
  </conditionalFormatting>
  <conditionalFormatting sqref="C41">
    <cfRule type="expression" priority="351" dxfId="104" stopIfTrue="1">
      <formula>$A41="Meta"</formula>
    </cfRule>
    <cfRule type="expression" priority="352" dxfId="103" stopIfTrue="1">
      <formula>$A41&lt;&gt;"Serviço"</formula>
    </cfRule>
  </conditionalFormatting>
  <conditionalFormatting sqref="A41:B41">
    <cfRule type="expression" priority="353" dxfId="104" stopIfTrue="1">
      <formula>$A41="Meta"</formula>
    </cfRule>
    <cfRule type="expression" priority="354" dxfId="103" stopIfTrue="1">
      <formula>LEFT($A41,5)="Nível"</formula>
    </cfRule>
    <cfRule type="expression" priority="355" dxfId="102" stopIfTrue="1">
      <formula>$A41=0</formula>
    </cfRule>
  </conditionalFormatting>
  <conditionalFormatting sqref="D35:E35">
    <cfRule type="expression" priority="333" dxfId="108" stopIfTrue="1">
      <formula>$A35="Meta"</formula>
    </cfRule>
    <cfRule type="expression" priority="334" dxfId="107" stopIfTrue="1">
      <formula>$A35&lt;&gt;"Serviço"</formula>
    </cfRule>
  </conditionalFormatting>
  <conditionalFormatting sqref="C35">
    <cfRule type="expression" priority="335" dxfId="104" stopIfTrue="1">
      <formula>$A35="Meta"</formula>
    </cfRule>
    <cfRule type="expression" priority="336" dxfId="103" stopIfTrue="1">
      <formula>$A35&lt;&gt;"Serviço"</formula>
    </cfRule>
  </conditionalFormatting>
  <conditionalFormatting sqref="A35:B35">
    <cfRule type="expression" priority="337" dxfId="104" stopIfTrue="1">
      <formula>$A35="Meta"</formula>
    </cfRule>
    <cfRule type="expression" priority="338" dxfId="103" stopIfTrue="1">
      <formula>LEFT($A35,5)="Nível"</formula>
    </cfRule>
    <cfRule type="expression" priority="339" dxfId="102" stopIfTrue="1">
      <formula>$A35=0</formula>
    </cfRule>
  </conditionalFormatting>
  <conditionalFormatting sqref="T17">
    <cfRule type="expression" priority="258" dxfId="108" stopIfTrue="1">
      <formula>$A17="Meta"</formula>
    </cfRule>
    <cfRule type="expression" priority="259" dxfId="102" stopIfTrue="1">
      <formula>OR(T$9=0,$A17&lt;&gt;"Serviço")</formula>
    </cfRule>
    <cfRule type="expression" priority="260" dxfId="5" stopIfTrue="1">
      <formula>TipoOrçamento="Licitado"</formula>
    </cfRule>
  </conditionalFormatting>
  <conditionalFormatting sqref="T15:T16">
    <cfRule type="expression" priority="255" dxfId="108" stopIfTrue="1">
      <formula>$A15="Meta"</formula>
    </cfRule>
    <cfRule type="expression" priority="256" dxfId="102" stopIfTrue="1">
      <formula>OR(T$9=0,$A15&lt;&gt;"Serviço")</formula>
    </cfRule>
    <cfRule type="expression" priority="257" dxfId="5" stopIfTrue="1">
      <formula>TipoOrçamento="Licitado"</formula>
    </cfRule>
  </conditionalFormatting>
  <conditionalFormatting sqref="D36:E36">
    <cfRule type="expression" priority="215" dxfId="108" stopIfTrue="1">
      <formula>$A36="Meta"</formula>
    </cfRule>
    <cfRule type="expression" priority="216" dxfId="107" stopIfTrue="1">
      <formula>$A36&lt;&gt;"Serviço"</formula>
    </cfRule>
  </conditionalFormatting>
  <conditionalFormatting sqref="C36">
    <cfRule type="expression" priority="217" dxfId="104" stopIfTrue="1">
      <formula>$A36="Meta"</formula>
    </cfRule>
    <cfRule type="expression" priority="218" dxfId="103" stopIfTrue="1">
      <formula>$A36&lt;&gt;"Serviço"</formula>
    </cfRule>
  </conditionalFormatting>
  <conditionalFormatting sqref="A36:B36">
    <cfRule type="expression" priority="219" dxfId="104" stopIfTrue="1">
      <formula>$A36="Meta"</formula>
    </cfRule>
    <cfRule type="expression" priority="220" dxfId="103" stopIfTrue="1">
      <formula>LEFT($A36,5)="Nível"</formula>
    </cfRule>
    <cfRule type="expression" priority="221" dxfId="102" stopIfTrue="1">
      <formula>$A36=0</formula>
    </cfRule>
  </conditionalFormatting>
  <conditionalFormatting sqref="D37:E37">
    <cfRule type="expression" priority="199" dxfId="108" stopIfTrue="1">
      <formula>$A37="Meta"</formula>
    </cfRule>
    <cfRule type="expression" priority="200" dxfId="107" stopIfTrue="1">
      <formula>$A37&lt;&gt;"Serviço"</formula>
    </cfRule>
  </conditionalFormatting>
  <conditionalFormatting sqref="C37">
    <cfRule type="expression" priority="201" dxfId="104" stopIfTrue="1">
      <formula>$A37="Meta"</formula>
    </cfRule>
    <cfRule type="expression" priority="202" dxfId="103" stopIfTrue="1">
      <formula>$A37&lt;&gt;"Serviço"</formula>
    </cfRule>
  </conditionalFormatting>
  <conditionalFormatting sqref="A37:B37">
    <cfRule type="expression" priority="203" dxfId="104" stopIfTrue="1">
      <formula>$A37="Meta"</formula>
    </cfRule>
    <cfRule type="expression" priority="204" dxfId="103" stopIfTrue="1">
      <formula>LEFT($A37,5)="Nível"</formula>
    </cfRule>
    <cfRule type="expression" priority="205" dxfId="102" stopIfTrue="1">
      <formula>$A37=0</formula>
    </cfRule>
  </conditionalFormatting>
  <conditionalFormatting sqref="D25:E25">
    <cfRule type="expression" priority="151" dxfId="108" stopIfTrue="1">
      <formula>$A25="Meta"</formula>
    </cfRule>
    <cfRule type="expression" priority="152" dxfId="107" stopIfTrue="1">
      <formula>$A25&lt;&gt;"Serviço"</formula>
    </cfRule>
  </conditionalFormatting>
  <conditionalFormatting sqref="C25">
    <cfRule type="expression" priority="153" dxfId="104" stopIfTrue="1">
      <formula>$A25="Meta"</formula>
    </cfRule>
    <cfRule type="expression" priority="154" dxfId="103" stopIfTrue="1">
      <formula>$A25&lt;&gt;"Serviço"</formula>
    </cfRule>
  </conditionalFormatting>
  <conditionalFormatting sqref="A25:B25">
    <cfRule type="expression" priority="155" dxfId="104" stopIfTrue="1">
      <formula>$A25="Meta"</formula>
    </cfRule>
    <cfRule type="expression" priority="156" dxfId="103" stopIfTrue="1">
      <formula>LEFT($A25,5)="Nível"</formula>
    </cfRule>
    <cfRule type="expression" priority="157" dxfId="102" stopIfTrue="1">
      <formula>$A25=0</formula>
    </cfRule>
  </conditionalFormatting>
  <conditionalFormatting sqref="D18:E18">
    <cfRule type="expression" priority="119" dxfId="108" stopIfTrue="1">
      <formula>$A18="Meta"</formula>
    </cfRule>
    <cfRule type="expression" priority="120" dxfId="107" stopIfTrue="1">
      <formula>$A18&lt;&gt;"Serviço"</formula>
    </cfRule>
  </conditionalFormatting>
  <conditionalFormatting sqref="C18">
    <cfRule type="expression" priority="121" dxfId="104" stopIfTrue="1">
      <formula>$A18="Meta"</formula>
    </cfRule>
    <cfRule type="expression" priority="122" dxfId="103" stopIfTrue="1">
      <formula>$A18&lt;&gt;"Serviço"</formula>
    </cfRule>
  </conditionalFormatting>
  <conditionalFormatting sqref="A18:B18">
    <cfRule type="expression" priority="123" dxfId="104" stopIfTrue="1">
      <formula>$A18="Meta"</formula>
    </cfRule>
    <cfRule type="expression" priority="124" dxfId="103" stopIfTrue="1">
      <formula>LEFT($A18,5)="Nível"</formula>
    </cfRule>
    <cfRule type="expression" priority="125" dxfId="102" stopIfTrue="1">
      <formula>$A18=0</formula>
    </cfRule>
  </conditionalFormatting>
  <conditionalFormatting sqref="AE18">
    <cfRule type="expression" priority="126" dxfId="108" stopIfTrue="1">
      <formula>$A18="Meta"</formula>
    </cfRule>
    <cfRule type="expression" priority="127" dxfId="102" stopIfTrue="1">
      <formula>OR(AE$9=0,$A18&lt;&gt;"Serviço")</formula>
    </cfRule>
    <cfRule type="expression" priority="128" dxfId="5" stopIfTrue="1">
      <formula>TipoOrçamento="Licitado"</formula>
    </cfRule>
  </conditionalFormatting>
  <conditionalFormatting sqref="F18:O18">
    <cfRule type="expression" priority="116" dxfId="108" stopIfTrue="1">
      <formula>$A18="Meta"</formula>
    </cfRule>
    <cfRule type="expression" priority="117" dxfId="102" stopIfTrue="1">
      <formula>OR(F$9=0,$A18&lt;&gt;"Serviço")</formula>
    </cfRule>
    <cfRule type="expression" priority="118" dxfId="5" stopIfTrue="1">
      <formula>TipoOrçamento="Licitado"</formula>
    </cfRule>
  </conditionalFormatting>
  <conditionalFormatting sqref="P18:Y18">
    <cfRule type="expression" priority="113" dxfId="108" stopIfTrue="1">
      <formula>$A18="Meta"</formula>
    </cfRule>
    <cfRule type="expression" priority="114" dxfId="102" stopIfTrue="1">
      <formula>OR(P$9=0,$A18&lt;&gt;"Serviço")</formula>
    </cfRule>
    <cfRule type="expression" priority="115" dxfId="5" stopIfTrue="1">
      <formula>TipoOrçamento="Licitado"</formula>
    </cfRule>
  </conditionalFormatting>
  <conditionalFormatting sqref="D19:E19">
    <cfRule type="expression" priority="87" dxfId="108" stopIfTrue="1">
      <formula>$A19="Meta"</formula>
    </cfRule>
    <cfRule type="expression" priority="88" dxfId="107" stopIfTrue="1">
      <formula>$A19&lt;&gt;"Serviço"</formula>
    </cfRule>
  </conditionalFormatting>
  <conditionalFormatting sqref="C19">
    <cfRule type="expression" priority="89" dxfId="104" stopIfTrue="1">
      <formula>$A19="Meta"</formula>
    </cfRule>
    <cfRule type="expression" priority="90" dxfId="103" stopIfTrue="1">
      <formula>$A19&lt;&gt;"Serviço"</formula>
    </cfRule>
  </conditionalFormatting>
  <conditionalFormatting sqref="A19:B19">
    <cfRule type="expression" priority="91" dxfId="104" stopIfTrue="1">
      <formula>$A19="Meta"</formula>
    </cfRule>
    <cfRule type="expression" priority="92" dxfId="103" stopIfTrue="1">
      <formula>LEFT($A19,5)="Nível"</formula>
    </cfRule>
    <cfRule type="expression" priority="93" dxfId="102" stopIfTrue="1">
      <formula>$A19=0</formula>
    </cfRule>
  </conditionalFormatting>
  <conditionalFormatting sqref="AE19">
    <cfRule type="expression" priority="94" dxfId="108" stopIfTrue="1">
      <formula>$A19="Meta"</formula>
    </cfRule>
    <cfRule type="expression" priority="95" dxfId="102" stopIfTrue="1">
      <formula>OR(AE$9=0,$A19&lt;&gt;"Serviço")</formula>
    </cfRule>
    <cfRule type="expression" priority="96" dxfId="5" stopIfTrue="1">
      <formula>TipoOrçamento="Licitado"</formula>
    </cfRule>
  </conditionalFormatting>
  <conditionalFormatting sqref="F19:O19">
    <cfRule type="expression" priority="84" dxfId="108" stopIfTrue="1">
      <formula>$A19="Meta"</formula>
    </cfRule>
    <cfRule type="expression" priority="85" dxfId="102" stopIfTrue="1">
      <formula>OR(F$9=0,$A19&lt;&gt;"Serviço")</formula>
    </cfRule>
    <cfRule type="expression" priority="86" dxfId="5" stopIfTrue="1">
      <formula>TipoOrçamento="Licitado"</formula>
    </cfRule>
  </conditionalFormatting>
  <conditionalFormatting sqref="P19:Y19">
    <cfRule type="expression" priority="81" dxfId="108" stopIfTrue="1">
      <formula>$A19="Meta"</formula>
    </cfRule>
    <cfRule type="expression" priority="82" dxfId="102" stopIfTrue="1">
      <formula>OR(P$9=0,$A19&lt;&gt;"Serviço")</formula>
    </cfRule>
    <cfRule type="expression" priority="83" dxfId="5" stopIfTrue="1">
      <formula>TipoOrçamento="Licitado"</formula>
    </cfRule>
  </conditionalFormatting>
  <conditionalFormatting sqref="D45:E47">
    <cfRule type="expression" priority="55" dxfId="108" stopIfTrue="1">
      <formula>$A45="Meta"</formula>
    </cfRule>
    <cfRule type="expression" priority="56" dxfId="107" stopIfTrue="1">
      <formula>$A45&lt;&gt;"Serviço"</formula>
    </cfRule>
  </conditionalFormatting>
  <conditionalFormatting sqref="C45:C47">
    <cfRule type="expression" priority="57" dxfId="104" stopIfTrue="1">
      <formula>$A45="Meta"</formula>
    </cfRule>
    <cfRule type="expression" priority="58" dxfId="103" stopIfTrue="1">
      <formula>$A45&lt;&gt;"Serviço"</formula>
    </cfRule>
  </conditionalFormatting>
  <conditionalFormatting sqref="A45:B47">
    <cfRule type="expression" priority="59" dxfId="104" stopIfTrue="1">
      <formula>$A45="Meta"</formula>
    </cfRule>
    <cfRule type="expression" priority="60" dxfId="103" stopIfTrue="1">
      <formula>LEFT($A45,5)="Nível"</formula>
    </cfRule>
    <cfRule type="expression" priority="61" dxfId="102" stopIfTrue="1">
      <formula>$A45=0</formula>
    </cfRule>
  </conditionalFormatting>
  <conditionalFormatting sqref="D38:E40">
    <cfRule type="expression" priority="39" dxfId="108" stopIfTrue="1">
      <formula>$A38="Meta"</formula>
    </cfRule>
    <cfRule type="expression" priority="40" dxfId="107" stopIfTrue="1">
      <formula>$A38&lt;&gt;"Serviço"</formula>
    </cfRule>
  </conditionalFormatting>
  <conditionalFormatting sqref="C38:C40">
    <cfRule type="expression" priority="41" dxfId="104" stopIfTrue="1">
      <formula>$A38="Meta"</formula>
    </cfRule>
    <cfRule type="expression" priority="42" dxfId="103" stopIfTrue="1">
      <formula>$A38&lt;&gt;"Serviço"</formula>
    </cfRule>
  </conditionalFormatting>
  <conditionalFormatting sqref="A38:B40">
    <cfRule type="expression" priority="43" dxfId="104" stopIfTrue="1">
      <formula>$A38="Meta"</formula>
    </cfRule>
    <cfRule type="expression" priority="44" dxfId="103" stopIfTrue="1">
      <formula>LEFT($A38,5)="Nível"</formula>
    </cfRule>
    <cfRule type="expression" priority="45" dxfId="102" stopIfTrue="1">
      <formula>$A38=0</formula>
    </cfRule>
  </conditionalFormatting>
  <conditionalFormatting sqref="D48:E48">
    <cfRule type="expression" priority="23" dxfId="108" stopIfTrue="1">
      <formula>$A48="Meta"</formula>
    </cfRule>
    <cfRule type="expression" priority="24" dxfId="107" stopIfTrue="1">
      <formula>$A48&lt;&gt;"Serviço"</formula>
    </cfRule>
  </conditionalFormatting>
  <conditionalFormatting sqref="C48">
    <cfRule type="expression" priority="25" dxfId="104" stopIfTrue="1">
      <formula>$A48="Meta"</formula>
    </cfRule>
    <cfRule type="expression" priority="26" dxfId="103" stopIfTrue="1">
      <formula>$A48&lt;&gt;"Serviço"</formula>
    </cfRule>
  </conditionalFormatting>
  <conditionalFormatting sqref="A48:B48">
    <cfRule type="expression" priority="27" dxfId="104" stopIfTrue="1">
      <formula>$A48="Meta"</formula>
    </cfRule>
    <cfRule type="expression" priority="28" dxfId="103" stopIfTrue="1">
      <formula>LEFT($A48,5)="Nível"</formula>
    </cfRule>
    <cfRule type="expression" priority="29" dxfId="102" stopIfTrue="1">
      <formula>$A48=0</formula>
    </cfRule>
  </conditionalFormatting>
  <dataValidations count="1">
    <dataValidation type="decimal" operator="greaterThanOrEqual" allowBlank="1" showInputMessage="1" showErrorMessage="1" error="Digite apenas números.&#10;&#10;preferencialmente com 02 casas de precisão." sqref="AE11 F11:Y11 AE14:AE49 F14:Y49">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37" r:id="rId3"/>
  <headerFooter alignWithMargins="0">
    <oddHeader>&amp;C&amp;14I</oddHeader>
    <oddFooter>&amp;L27.476 v008   micro&amp;R&amp;P</oddFooter>
  </headerFooter>
  <ignoredErrors>
    <ignoredError sqref="B55 B52" unlockedFormula="1"/>
    <ignoredError sqref="A12 C12" formula="1"/>
  </ignoredErrors>
  <drawing r:id="rId2"/>
  <legacyDrawing r:id="rId1"/>
</worksheet>
</file>

<file path=xl/worksheets/sheet5.xml><?xml version="1.0" encoding="utf-8"?>
<worksheet xmlns="http://schemas.openxmlformats.org/spreadsheetml/2006/main" xmlns:r="http://schemas.openxmlformats.org/officeDocument/2006/relationships">
  <sheetPr codeName="Plan6">
    <tabColor rgb="FFFFFF00"/>
    <outlinePr summaryBelow="0"/>
  </sheetPr>
  <dimension ref="A1:AC55"/>
  <sheetViews>
    <sheetView showGridLines="0" zoomScaleSheetLayoutView="100" zoomScalePageLayoutView="0" workbookViewId="0" topLeftCell="L10">
      <selection activeCell="T42" sqref="T42"/>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75" customHeight="1">
      <c r="A1" s="21"/>
      <c r="B1" s="21"/>
      <c r="C1" s="21"/>
      <c r="D1" s="21"/>
      <c r="E1" s="172"/>
      <c r="F1" s="172"/>
      <c r="G1" s="172"/>
      <c r="H1" s="172"/>
      <c r="I1" s="172"/>
      <c r="J1" s="172"/>
      <c r="K1" s="172"/>
      <c r="L1" s="21"/>
      <c r="M1" s="21"/>
      <c r="N1" s="21"/>
      <c r="O1" s="173" t="s">
        <v>22</v>
      </c>
      <c r="P1" s="174" t="s">
        <v>116</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75"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75"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75"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177</v>
      </c>
      <c r="B8" s="1"/>
      <c r="C8" s="1"/>
      <c r="D8" s="1"/>
      <c r="E8" s="1"/>
      <c r="F8" s="1"/>
      <c r="G8" s="1"/>
      <c r="H8" s="1"/>
      <c r="I8" s="1"/>
      <c r="J8" s="1"/>
      <c r="K8" s="1"/>
      <c r="L8" s="389" t="str">
        <f ca="1">IF(MAX($A$14:$A$46)&lt;&gt;MAX(PO!$V$12:$V$50),"ERRO: CRONOGRAMA DESATUALIZADO",IF(OR(COUNTIF($O$16:$X$16,"&gt;1")&gt;0,OFFSET($X$17,0,-1)&lt;&gt;$N$14),"ERRO: CRONOGRAMA NÃO FECHA EM 100%",""))</f>
        <v>ERRO: CRONOGRAMA NÃO FECHA EM 100%</v>
      </c>
      <c r="M8" s="389"/>
      <c r="N8" s="160">
        <f>IF(TipoOrçamento="REPROGRAMADOAC","Qtde de Medições realizadas","")</f>
      </c>
      <c r="O8" s="178"/>
      <c r="P8" s="179"/>
      <c r="Q8" s="1"/>
      <c r="R8" s="1"/>
      <c r="S8" s="1"/>
      <c r="T8" s="1"/>
      <c r="U8" s="1"/>
      <c r="V8" s="1"/>
      <c r="W8" s="1"/>
      <c r="X8" s="1"/>
      <c r="AC8" s="1"/>
    </row>
    <row r="9" spans="1:29" s="41" customFormat="1" ht="13.5" customHeight="1">
      <c r="A9" s="166">
        <v>2</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162</v>
      </c>
      <c r="B10" s="180" t="s">
        <v>130</v>
      </c>
      <c r="C10" s="180" t="s">
        <v>3</v>
      </c>
      <c r="D10" s="180" t="s">
        <v>124</v>
      </c>
      <c r="E10" s="180" t="s">
        <v>110</v>
      </c>
      <c r="F10" s="180" t="s">
        <v>111</v>
      </c>
      <c r="G10" s="180" t="s">
        <v>128</v>
      </c>
      <c r="H10" s="180" t="s">
        <v>129</v>
      </c>
      <c r="I10" s="180" t="s">
        <v>125</v>
      </c>
      <c r="J10" s="180" t="s">
        <v>126</v>
      </c>
      <c r="K10" s="180" t="s">
        <v>179</v>
      </c>
      <c r="L10" s="181" t="s">
        <v>148</v>
      </c>
      <c r="M10" s="182" t="s">
        <v>161</v>
      </c>
      <c r="N10" s="183" t="s">
        <v>140</v>
      </c>
      <c r="O10" s="218" t="str">
        <f>IF(TipoOrçamento="REPROGRAMADOAC","Reinício de Obra","Início de Obra")&amp;CHAR(10)&amp;TEXT(DADOS!A48,"dd/mm/aa")</f>
        <v>Início de Obra
01/09/20</v>
      </c>
      <c r="P10" s="219" t="str">
        <f>IF(AND(TipoOrçamento="REPROGRAMADOAC",$N$9&gt;0,N10="Valores Totais (R$)"),"Parcela "&amp;$N$9&amp;" Executado","Parcela "&amp;P$9&amp;CHAR(10)&amp;TEXT(DATE(YEAR(DADOS!$A$48),MONTH(DADOS!$A$48)+P$9-IF(AND(TipoOrçamento="REPROGRAMADOAC",$N$9&gt;0),$N$9,0),1),"mmm/aa"))</f>
        <v>Parcela 1
out/20</v>
      </c>
      <c r="Q10" s="210" t="str">
        <f>IF(AND(TipoOrçamento="REPROGRAMADOAC",$N$9&gt;0,O10="Valores Totais (R$)"),"Parcela "&amp;$N$9&amp;" Executado","Parcela "&amp;Q$9&amp;CHAR(10)&amp;TEXT(DATE(YEAR(DADOS!$A$48),MONTH(DADOS!$A$48)+Q$9-IF(AND(TipoOrçamento="REPROGRAMADOAC",$N$9&gt;0),$N$9,0),1),"mmm/aa"))</f>
        <v>Parcela 2
nov/20</v>
      </c>
      <c r="R10" s="210" t="str">
        <f>IF(AND(TipoOrçamento="REPROGRAMADOAC",$N$9&gt;0,P10="Valores Totais (R$)"),"Parcela "&amp;$N$9&amp;" Executado","Parcela "&amp;R$9&amp;CHAR(10)&amp;TEXT(DATE(YEAR(DADOS!$A$48),MONTH(DADOS!$A$48)+R$9-IF(AND(TipoOrçamento="REPROGRAMADOAC",$N$9&gt;0),$N$9,0),1),"mmm/aa"))</f>
        <v>Parcela 3
dez/20</v>
      </c>
      <c r="S10" s="210" t="str">
        <f>IF(AND(TipoOrçamento="REPROGRAMADOAC",$N$9&gt;0,Q10="Valores Totais (R$)"),"Parcela "&amp;$N$9&amp;" Executado","Parcela "&amp;S$9&amp;CHAR(10)&amp;TEXT(DATE(YEAR(DADOS!$A$48),MONTH(DADOS!$A$48)+S$9-IF(AND(TipoOrçamento="REPROGRAMADOAC",$N$9&gt;0),$N$9,0),1),"mmm/aa"))</f>
        <v>Parcela 4
jan/21</v>
      </c>
      <c r="T10" s="210" t="str">
        <f>IF(AND(TipoOrçamento="REPROGRAMADOAC",$N$9&gt;0,R10="Valores Totais (R$)"),"Parcela "&amp;$N$9&amp;" Executado","Parcela "&amp;T$9&amp;CHAR(10)&amp;TEXT(DATE(YEAR(DADOS!$A$48),MONTH(DADOS!$A$48)+T$9-IF(AND(TipoOrçamento="REPROGRAMADOAC",$N$9&gt;0),$N$9,0),1),"mmm/aa"))</f>
        <v>Parcela 5
fev/21</v>
      </c>
      <c r="U10" s="210" t="str">
        <f>IF(AND(TipoOrçamento="REPROGRAMADOAC",$N$9&gt;0,S10="Valores Totais (R$)"),"Parcela "&amp;$N$9&amp;" Executado","Parcela "&amp;U$9&amp;CHAR(10)&amp;TEXT(DATE(YEAR(DADOS!$A$48),MONTH(DADOS!$A$48)+U$9-IF(AND(TipoOrçamento="REPROGRAMADOAC",$N$9&gt;0),$N$9,0),1),"mmm/aa"))</f>
        <v>Parcela 6
mar/21</v>
      </c>
      <c r="V10" s="210" t="str">
        <f>IF(AND(TipoOrçamento="REPROGRAMADOAC",$N$9&gt;0,T10="Valores Totais (R$)"),"Parcela "&amp;$N$9&amp;" Executado","Parcela "&amp;V$9&amp;CHAR(10)&amp;TEXT(DATE(YEAR(DADOS!$A$48),MONTH(DADOS!$A$48)+V$9-IF(AND(TipoOrçamento="REPROGRAMADOAC",$N$9&gt;0),$N$9,0),1),"mmm/aa"))</f>
        <v>Parcela 7
abr/21</v>
      </c>
      <c r="W10" s="222" t="str">
        <f>IF(AND(TipoOrçamento="REPROGRAMADOAC",$N$9&gt;0,U10="Valores Totais (R$)"),"Parcela "&amp;$N$9&amp;" Executado","Parcela "&amp;W$9&amp;CHAR(10)&amp;TEXT(DATE(YEAR(DADOS!$A$48),MONTH(DADOS!$A$48)+W$9-IF(AND(TipoOrçamento="REPROGRAMADOAC",$N$9&gt;0),$N$9,0),1),"mmm/aa"))</f>
        <v>Parcela 8
mai/21</v>
      </c>
      <c r="X10" s="195"/>
      <c r="AC10" s="210" t="str">
        <f>IF(AND(TipoOrçamento="REPROGRAMADOAC",$N$9&gt;0,AA10="Valores Totais (R$)"),"Parcela "&amp;$N$9&amp;" Executado","Parcela "&amp;AC$9&amp;CHAR(10)&amp;TEXT(DATE(YEAR(DADOS!$A$48),MONTH(DADOS!$A$48)+AC$9-IF(AND(TipoOrçamento="REPROGRAMADOAC",$N$9&gt;0),$N$9,0),1),"mmm/aa"))</f>
        <v>Parcela 1
out/20</v>
      </c>
    </row>
    <row r="11" spans="1:29" ht="14.25" customHeight="1" hidden="1">
      <c r="A11" s="82"/>
      <c r="B11" s="82"/>
      <c r="C11" s="82"/>
      <c r="D11" s="82"/>
      <c r="E11" s="82"/>
      <c r="F11" s="82"/>
      <c r="G11" s="82"/>
      <c r="H11" s="82"/>
      <c r="I11" s="82"/>
      <c r="J11" s="82"/>
      <c r="K11" s="82"/>
      <c r="L11" s="374" t="e">
        <f>INDEX(PO!K$12:K$50,MATCH($A13,PO!$V$12:$V$50,0))</f>
        <v>#VALUE!</v>
      </c>
      <c r="M11" s="376" t="e">
        <f>INDEX(PO!N$12:N$50,MATCH($A13,PO!$V$12:$V$50,0))</f>
        <v>#VALUE!</v>
      </c>
      <c r="N11" s="387" t="e">
        <f>IF(ROUND(K13,2)=0,K13,ROUND(K13,2))</f>
        <v>#VALUE!</v>
      </c>
      <c r="O11" s="220" t="s">
        <v>144</v>
      </c>
      <c r="P11" s="225" t="e">
        <f>IF($B13,0,P12-IF(ISNUMBER(O12),O12,0))</f>
        <v>#VALUE!</v>
      </c>
      <c r="Q11" s="226" t="e">
        <f aca="true" t="shared" si="1" ref="Q11:W11">IF($B13,0,Q12-IF(ISNUMBER(P12),P12,0))</f>
        <v>#VALUE!</v>
      </c>
      <c r="R11" s="226" t="e">
        <f t="shared" si="1"/>
        <v>#VALUE!</v>
      </c>
      <c r="S11" s="226" t="e">
        <f t="shared" si="1"/>
        <v>#VALUE!</v>
      </c>
      <c r="T11" s="226" t="e">
        <f t="shared" si="1"/>
        <v>#VALUE!</v>
      </c>
      <c r="U11" s="226" t="e">
        <f t="shared" si="1"/>
        <v>#VALUE!</v>
      </c>
      <c r="V11" s="226" t="e">
        <f t="shared" si="1"/>
        <v>#VALUE!</v>
      </c>
      <c r="W11" s="227" t="e">
        <f t="shared" si="1"/>
        <v>#VALUE!</v>
      </c>
      <c r="X11" s="196"/>
      <c r="AC11" s="221" t="e">
        <f>IF($B13,0,AC12-IF(ISNUMBER(AB12),AB12,0))</f>
        <v>#VALUE!</v>
      </c>
    </row>
    <row r="12" spans="1:29" ht="14.25" hidden="1">
      <c r="A12" s="184"/>
      <c r="B12" s="184"/>
      <c r="C12" s="184"/>
      <c r="D12" s="184"/>
      <c r="E12" s="184"/>
      <c r="F12" s="184"/>
      <c r="G12" s="184"/>
      <c r="H12" s="184"/>
      <c r="I12" s="184"/>
      <c r="J12" s="184"/>
      <c r="K12" s="184"/>
      <c r="L12" s="375"/>
      <c r="M12" s="377"/>
      <c r="N12" s="388"/>
      <c r="O12" s="170" t="s">
        <v>146</v>
      </c>
      <c r="P12" s="198" t="e">
        <f>MIN(IF($B13,P11+IF(ISNUMBER(O12),O12,0),P13/$N11),1)</f>
        <v>#VALUE!</v>
      </c>
      <c r="Q12" s="168" t="e">
        <f aca="true" t="shared" si="2" ref="Q12:W12">MIN(IF($B13,Q11+IF(ISNUMBER(P12),P12,0),Q13/$N11),1)</f>
        <v>#VALUE!</v>
      </c>
      <c r="R12" s="168" t="e">
        <f t="shared" si="2"/>
        <v>#VALUE!</v>
      </c>
      <c r="S12" s="168" t="e">
        <f t="shared" si="2"/>
        <v>#VALUE!</v>
      </c>
      <c r="T12" s="168" t="e">
        <f t="shared" si="2"/>
        <v>#VALUE!</v>
      </c>
      <c r="U12" s="168" t="e">
        <f t="shared" si="2"/>
        <v>#VALUE!</v>
      </c>
      <c r="V12" s="168" t="e">
        <f t="shared" si="2"/>
        <v>#VALUE!</v>
      </c>
      <c r="W12" s="168" t="e">
        <f t="shared" si="2"/>
        <v>#VALUE!</v>
      </c>
      <c r="X12" s="196"/>
      <c r="AC12" s="168" t="e">
        <f>MIN(IF($B13,AC11+IF(ISNUMBER(AB12),AB12,0),AC13/$N11),1)</f>
        <v>#VALUE!</v>
      </c>
    </row>
    <row r="13" spans="1:29" ht="14.25" hidden="1">
      <c r="A13" s="184" t="e">
        <f ca="1">OFFSET(A13,-CFF.NumLinha,0)+1</f>
        <v>#VALUE!</v>
      </c>
      <c r="B13" s="184" t="e">
        <f ca="1">$C13&gt;=OFFSET($C13,CFF.NumLinha,0)</f>
        <v>#VALUE!</v>
      </c>
      <c r="C13" s="184" t="e">
        <f>INDEX(PO!A$12:A$50,MATCH($A13,PO!$V$12:$V$50,0))</f>
        <v>#VALUE!</v>
      </c>
      <c r="D13" s="184" t="e">
        <f>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MATCH(0,OFFSET($D13,1,$C13,ROW($A$45)-ROW($A13)),0)</f>
        <v>#VALUE!</v>
      </c>
      <c r="J13" s="184" t="e">
        <f ca="1">MATCH(OFFSET($D13,0,$C13)+1,OFFSET($D13,1,$C13,ROW($A$45)-ROW($A13)),0)</f>
        <v>#VALUE!</v>
      </c>
      <c r="K13" s="185" t="e">
        <f>ROUND(INDEX(PO!T$12:T$50,MATCH($A13,PO!$V$12:$V$50,0)),2)+10^-12</f>
        <v>#VALUE!</v>
      </c>
      <c r="L13" s="375"/>
      <c r="M13" s="377"/>
      <c r="N13" s="388"/>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78" t="s">
        <v>19</v>
      </c>
      <c r="M14" s="379"/>
      <c r="N14" s="384">
        <f>IF(PO!$T$12=0,10^-12,PO!$T$12)</f>
        <v>1E-12</v>
      </c>
      <c r="O14" s="167" t="s">
        <v>144</v>
      </c>
      <c r="P14" s="205">
        <f>ROUND(P15/$N14,4)</f>
        <v>0</v>
      </c>
      <c r="Q14" s="206">
        <f aca="true" t="shared" si="4" ref="Q14:W14">ROUND(Q15/$N14,4)</f>
        <v>0</v>
      </c>
      <c r="R14" s="206">
        <f t="shared" si="4"/>
        <v>0</v>
      </c>
      <c r="S14" s="206">
        <f t="shared" si="4"/>
        <v>0</v>
      </c>
      <c r="T14" s="206">
        <f t="shared" si="4"/>
        <v>0</v>
      </c>
      <c r="U14" s="206">
        <f t="shared" si="4"/>
        <v>0</v>
      </c>
      <c r="V14" s="206">
        <f t="shared" si="4"/>
        <v>0</v>
      </c>
      <c r="W14" s="206">
        <f t="shared" si="4"/>
        <v>0</v>
      </c>
      <c r="X14" s="171"/>
      <c r="AC14" s="206">
        <f>ROUND(AC15/$N14,4)</f>
        <v>0</v>
      </c>
    </row>
    <row r="15" spans="1:29" s="44" customFormat="1" ht="12.75" customHeight="1">
      <c r="A15" s="1"/>
      <c r="B15" s="1"/>
      <c r="C15" s="1"/>
      <c r="D15" s="1"/>
      <c r="E15" s="1"/>
      <c r="F15" s="1"/>
      <c r="G15" s="1"/>
      <c r="H15" s="1"/>
      <c r="I15" s="1"/>
      <c r="J15" s="1"/>
      <c r="K15" s="1"/>
      <c r="L15" s="380"/>
      <c r="M15" s="381"/>
      <c r="N15" s="385"/>
      <c r="O15" s="156" t="s">
        <v>145</v>
      </c>
      <c r="P15" s="200">
        <f>P17-IF(ISNUMBER(O17),O17,0)</f>
        <v>0</v>
      </c>
      <c r="Q15" s="150">
        <f aca="true" t="shared" si="5" ref="Q15:W15">Q17-IF(ISNUMBER(P17),P17,0)</f>
        <v>0</v>
      </c>
      <c r="R15" s="150">
        <f t="shared" si="5"/>
        <v>0</v>
      </c>
      <c r="S15" s="150">
        <f t="shared" si="5"/>
        <v>0</v>
      </c>
      <c r="T15" s="150">
        <f t="shared" si="5"/>
        <v>0</v>
      </c>
      <c r="U15" s="150">
        <f t="shared" si="5"/>
        <v>0</v>
      </c>
      <c r="V15" s="150">
        <f t="shared" si="5"/>
        <v>0</v>
      </c>
      <c r="W15" s="150">
        <f t="shared" si="5"/>
        <v>0</v>
      </c>
      <c r="X15" s="171"/>
      <c r="AC15" s="150">
        <f>AC17-IF(ISNUMBER(AB17),AB17,0)</f>
        <v>0</v>
      </c>
    </row>
    <row r="16" spans="1:29" s="44" customFormat="1" ht="12.75" customHeight="1">
      <c r="A16" s="1"/>
      <c r="B16" s="1"/>
      <c r="C16" s="1"/>
      <c r="D16" s="1"/>
      <c r="E16" s="1"/>
      <c r="F16" s="1"/>
      <c r="G16" s="1"/>
      <c r="H16" s="1"/>
      <c r="I16" s="1"/>
      <c r="J16" s="1"/>
      <c r="K16" s="1"/>
      <c r="L16" s="380"/>
      <c r="M16" s="381"/>
      <c r="N16" s="385"/>
      <c r="O16" s="157" t="s">
        <v>146</v>
      </c>
      <c r="P16" s="201">
        <f>ROUND(P17/$N14,4)</f>
        <v>0</v>
      </c>
      <c r="Q16" s="151">
        <f aca="true" t="shared" si="6" ref="Q16:W16">ROUND(Q17/$N14,4)</f>
        <v>0</v>
      </c>
      <c r="R16" s="151">
        <f t="shared" si="6"/>
        <v>0</v>
      </c>
      <c r="S16" s="151">
        <f t="shared" si="6"/>
        <v>0</v>
      </c>
      <c r="T16" s="151">
        <f t="shared" si="6"/>
        <v>0</v>
      </c>
      <c r="U16" s="151">
        <f t="shared" si="6"/>
        <v>0</v>
      </c>
      <c r="V16" s="151">
        <f t="shared" si="6"/>
        <v>0</v>
      </c>
      <c r="W16" s="151">
        <f t="shared" si="6"/>
        <v>0</v>
      </c>
      <c r="X16" s="171"/>
      <c r="AC16" s="151">
        <f>ROUND(AC17/$N14,4)</f>
        <v>0</v>
      </c>
    </row>
    <row r="17" spans="1:29" s="44" customFormat="1" ht="12.75" customHeight="1">
      <c r="A17" s="114">
        <v>0</v>
      </c>
      <c r="B17" s="1"/>
      <c r="C17" s="1"/>
      <c r="D17" s="114">
        <f>ROW(D$45)-ROW(D18)</f>
        <v>27</v>
      </c>
      <c r="E17" s="1"/>
      <c r="F17" s="1"/>
      <c r="G17" s="1"/>
      <c r="H17" s="1"/>
      <c r="I17" s="1"/>
      <c r="J17" s="1"/>
      <c r="K17" s="1"/>
      <c r="L17" s="382"/>
      <c r="M17" s="383"/>
      <c r="N17" s="386"/>
      <c r="O17" s="158" t="s">
        <v>20</v>
      </c>
      <c r="P17" s="202">
        <f ca="1">SUMIF(OFFSET($C17,1,0):$C$45,1,OFFSET(P17,1,0):P$45)</f>
        <v>0</v>
      </c>
      <c r="Q17" s="152">
        <f ca="1">SUMIF(OFFSET($C17,1,0):$C$45,1,OFFSET(Q17,1,0):Q$45)</f>
        <v>0</v>
      </c>
      <c r="R17" s="152">
        <f ca="1">SUMIF(OFFSET($C17,1,0):$C$45,1,OFFSET(R17,1,0):R$45)</f>
        <v>0</v>
      </c>
      <c r="S17" s="152">
        <f ca="1">SUMIF(OFFSET($C17,1,0):$C$45,1,OFFSET(S17,1,0):S$45)</f>
        <v>0</v>
      </c>
      <c r="T17" s="152">
        <f ca="1">SUMIF(OFFSET($C17,1,0):$C$45,1,OFFSET(T17,1,0):T$45)</f>
        <v>0</v>
      </c>
      <c r="U17" s="152">
        <f ca="1">SUMIF(OFFSET($C17,1,0):$C$45,1,OFFSET(U17,1,0):U$45)</f>
        <v>0</v>
      </c>
      <c r="V17" s="152">
        <f ca="1">SUMIF(OFFSET($C17,1,0):$C$45,1,OFFSET(V17,1,0):V$45)</f>
        <v>0</v>
      </c>
      <c r="W17" s="152">
        <f ca="1">SUMIF(OFFSET($C17,1,0):$C$45,1,OFFSET(W17,1,0):W$45)</f>
        <v>0</v>
      </c>
      <c r="X17" s="171"/>
      <c r="AC17" s="152">
        <f ca="1">SUMIF(OFFSET($C17,1,0):$C$45,1,OFFSET(AC17,1,0):AC$45)</f>
        <v>0</v>
      </c>
    </row>
    <row r="18" spans="1:29" ht="14.25" customHeight="1">
      <c r="A18" s="1"/>
      <c r="B18" s="1"/>
      <c r="C18" s="1"/>
      <c r="D18" s="1"/>
      <c r="E18" s="1"/>
      <c r="F18" s="1"/>
      <c r="G18" s="1"/>
      <c r="H18" s="1"/>
      <c r="I18" s="1"/>
      <c r="J18" s="1"/>
      <c r="K18" s="1"/>
      <c r="L18" s="374" t="str">
        <f>INDEX(PO!K$12:K$50,MATCH($A20,PO!$V$12:$V$50,0))</f>
        <v>1.</v>
      </c>
      <c r="M18" s="376" t="str">
        <f>INDEX(PO!N$12:N$50,MATCH($A20,PO!$V$12:$V$50,0))</f>
        <v>REVITALIZAÇÃO DOS CANTEIROS</v>
      </c>
      <c r="N18" s="387">
        <f>IF(ROUND(K20,2)=0,K20,ROUND(K20,2))</f>
        <v>1E-12</v>
      </c>
      <c r="O18" s="203" t="s">
        <v>144</v>
      </c>
      <c r="P18" s="225">
        <v>0.1867346</v>
      </c>
      <c r="Q18" s="226">
        <v>0.3687707</v>
      </c>
      <c r="R18" s="226">
        <v>0.24756077</v>
      </c>
      <c r="S18" s="226">
        <v>0.19693393</v>
      </c>
      <c r="T18" s="226">
        <f>IF($B20,0,T19-IF(ISNUMBER(S19),S19,0))</f>
        <v>0</v>
      </c>
      <c r="U18" s="226">
        <f>IF($B20,0,U19-IF(ISNUMBER(T19),T19,0))</f>
        <v>0</v>
      </c>
      <c r="V18" s="226">
        <f>IF($B20,0,V19-IF(ISNUMBER(U19),U19,0))</f>
        <v>0</v>
      </c>
      <c r="W18" s="227">
        <f>IF($B20,0,W19-IF(ISNUMBER(V19),V19,0))</f>
        <v>0</v>
      </c>
      <c r="X18" s="197" t="s">
        <v>107</v>
      </c>
      <c r="AC18" s="221">
        <f>IF($B20,0,AC19-IF(ISNUMBER(AB19),AB19,0))</f>
        <v>0</v>
      </c>
    </row>
    <row r="19" spans="1:29" ht="14.25">
      <c r="A19" s="1"/>
      <c r="B19" s="1"/>
      <c r="C19" s="1"/>
      <c r="D19" s="1"/>
      <c r="E19" s="1"/>
      <c r="F19" s="1"/>
      <c r="G19" s="1"/>
      <c r="H19" s="1"/>
      <c r="I19" s="1"/>
      <c r="J19" s="1"/>
      <c r="K19" s="1"/>
      <c r="L19" s="375"/>
      <c r="M19" s="377"/>
      <c r="N19" s="388"/>
      <c r="O19" s="170" t="s">
        <v>146</v>
      </c>
      <c r="P19" s="198">
        <f aca="true" t="shared" si="7" ref="P19:W19">MIN(IF($B20,P18+IF(ISNUMBER(O19),O19,0),P20/$N18),1)</f>
        <v>0</v>
      </c>
      <c r="Q19" s="168">
        <f t="shared" si="7"/>
        <v>0</v>
      </c>
      <c r="R19" s="168">
        <f t="shared" si="7"/>
        <v>0</v>
      </c>
      <c r="S19" s="168">
        <f t="shared" si="7"/>
        <v>0</v>
      </c>
      <c r="T19" s="168">
        <f t="shared" si="7"/>
        <v>0</v>
      </c>
      <c r="U19" s="168">
        <f t="shared" si="7"/>
        <v>0</v>
      </c>
      <c r="V19" s="168">
        <f t="shared" si="7"/>
        <v>0</v>
      </c>
      <c r="W19" s="168">
        <f t="shared" si="7"/>
        <v>0</v>
      </c>
      <c r="X19" s="196"/>
      <c r="AC19" s="168">
        <f>MIN(IF($B20,AC18+IF(ISNUMBER(AB19),AB19,0),AC20/$N18),1)</f>
        <v>0</v>
      </c>
    </row>
    <row r="20" spans="1:29" ht="14.25">
      <c r="A20" s="114">
        <f ca="1">OFFSET(A20,-CFF.NumLinha,0)+1</f>
        <v>1</v>
      </c>
      <c r="B20" s="1" t="b">
        <f ca="1">$C20&gt;=OFFSET($C20,CFF.NumLinha,0)</f>
        <v>0</v>
      </c>
      <c r="C20" s="184">
        <f>INDEX(PO!A$12:A$50,MATCH($A20,PO!$V$12:$V$50,0))</f>
        <v>1</v>
      </c>
      <c r="D20" s="184">
        <f>IF(ISERROR(J20),I20,SMALL(I20:J20,1))-1</f>
        <v>24</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MATCH(0,OFFSET($D20,1,$C20,ROW($A$45)-ROW($A20)),0)</f>
        <v>25</v>
      </c>
      <c r="J20" s="184" t="e">
        <f ca="1">MATCH(OFFSET($D20,0,$C20)+1,OFFSET($D20,1,$C20,ROW($A$45)-ROW($A20)),0)</f>
        <v>#N/A</v>
      </c>
      <c r="K20" s="185">
        <f>ROUND(INDEX(PO!T$12:T$50,MATCH($A20,PO!$V$12:$V$50,0)),2)+10^-12</f>
        <v>1E-12</v>
      </c>
      <c r="L20" s="375"/>
      <c r="M20" s="377"/>
      <c r="N20" s="388"/>
      <c r="O20" s="204" t="s">
        <v>20</v>
      </c>
      <c r="P20" s="199">
        <f aca="true" ca="1" t="shared" si="8" ref="P20:W20">IF($B20,ROUND(P19*$N18,2),ROUND(SUMIF(OFFSET($B20,1,0,$D20),TRUE,OFFSET(P20,1,0,$D20))/SUMIF(OFFSET($B20,1,0,$D20),TRUE,OFFSET($K20,1,0,$D20))*$N18,2))</f>
        <v>0</v>
      </c>
      <c r="Q20" s="169">
        <f ca="1" t="shared" si="8"/>
        <v>0</v>
      </c>
      <c r="R20" s="169">
        <f ca="1" t="shared" si="8"/>
        <v>0</v>
      </c>
      <c r="S20" s="169">
        <f ca="1" t="shared" si="8"/>
        <v>0</v>
      </c>
      <c r="T20" s="169">
        <f ca="1" t="shared" si="8"/>
        <v>0</v>
      </c>
      <c r="U20" s="169">
        <f ca="1" t="shared" si="8"/>
        <v>0</v>
      </c>
      <c r="V20" s="169">
        <f ca="1" t="shared" si="8"/>
        <v>0</v>
      </c>
      <c r="W20" s="207">
        <f ca="1" t="shared" si="8"/>
        <v>0</v>
      </c>
      <c r="X20" s="196"/>
      <c r="AC20" s="169">
        <f ca="1">IF($B20,ROUND(AC19*$N18,2),ROUND(SUMIF(OFFSET($B20,1,0,$D20),TRUE,OFFSET(AC20,1,0,$D20))/SUMIF(OFFSET($B20,1,0,$D20),TRUE,OFFSET($K20,1,0,$D20))*$N18,2))</f>
        <v>0</v>
      </c>
    </row>
    <row r="21" spans="1:29" ht="14.25" customHeight="1">
      <c r="A21" s="82"/>
      <c r="B21" s="82"/>
      <c r="C21" s="82"/>
      <c r="D21" s="82"/>
      <c r="E21" s="82"/>
      <c r="F21" s="82"/>
      <c r="G21" s="82"/>
      <c r="H21" s="82"/>
      <c r="I21" s="82"/>
      <c r="J21" s="82"/>
      <c r="K21" s="82"/>
      <c r="L21" s="374" t="str">
        <f>INDEX(PO!K$12:K$50,MATCH($A23,PO!$V$12:$V$50,0))</f>
        <v>1.1.</v>
      </c>
      <c r="M21" s="376" t="str">
        <f>INDEX(PO!N$12:N$50,MATCH($A23,PO!$V$12:$V$50,0))</f>
        <v>SERVIÇOS PRELIMINARES</v>
      </c>
      <c r="N21" s="387">
        <f>IF(ROUND(K23,2)=0,K23,ROUND(K23,2))</f>
        <v>1E-12</v>
      </c>
      <c r="O21" s="220" t="s">
        <v>144</v>
      </c>
      <c r="P21" s="225">
        <v>0.5</v>
      </c>
      <c r="Q21" s="226">
        <v>0.4</v>
      </c>
      <c r="R21" s="226">
        <v>0.1</v>
      </c>
      <c r="S21" s="226">
        <f>IF($B23,0,S22-IF(ISNUMBER(R22),R22,0))</f>
        <v>0</v>
      </c>
      <c r="T21" s="226">
        <f>IF($B23,0,T22-IF(ISNUMBER(S22),S22,0))</f>
        <v>0</v>
      </c>
      <c r="U21" s="226">
        <f>IF($B23,0,U22-IF(ISNUMBER(T22),T22,0))</f>
        <v>0</v>
      </c>
      <c r="V21" s="226">
        <f>IF($B23,0,V22-IF(ISNUMBER(U22),U22,0))</f>
        <v>0</v>
      </c>
      <c r="W21" s="227">
        <f>IF($B23,0,W22-IF(ISNUMBER(V22),V22,0))</f>
        <v>0</v>
      </c>
      <c r="X21" s="196"/>
      <c r="AC21" s="221">
        <f>IF($B23,0,AC22-IF(ISNUMBER(AB22),AB22,0))</f>
        <v>0</v>
      </c>
    </row>
    <row r="22" spans="1:29" ht="14.25">
      <c r="A22" s="184"/>
      <c r="B22" s="184"/>
      <c r="C22" s="184"/>
      <c r="D22" s="184"/>
      <c r="E22" s="184"/>
      <c r="F22" s="184"/>
      <c r="G22" s="184"/>
      <c r="H22" s="184"/>
      <c r="I22" s="184"/>
      <c r="J22" s="184"/>
      <c r="K22" s="184"/>
      <c r="L22" s="375"/>
      <c r="M22" s="377"/>
      <c r="N22" s="388"/>
      <c r="O22" s="170" t="s">
        <v>146</v>
      </c>
      <c r="P22" s="198">
        <f>MIN(IF($B23,P21+IF(ISNUMBER(O22),O22,0),P23/$N21),1)</f>
        <v>0.5</v>
      </c>
      <c r="Q22" s="168">
        <f>MIN(IF($B23,Q21+IF(ISNUMBER(P22),P22,0),Q23/$N21),1)</f>
        <v>0.9</v>
      </c>
      <c r="R22" s="168">
        <f>MIN(IF($B23,R21+IF(ISNUMBER(Q22),Q22,0),R23/$N21),1)</f>
        <v>1</v>
      </c>
      <c r="S22" s="168">
        <f>MIN(IF($B23,S21+IF(ISNUMBER(R22),R22,0),S23/$N21),1)</f>
        <v>1</v>
      </c>
      <c r="T22" s="168">
        <f>MIN(IF($B23,T21+IF(ISNUMBER(S22),S22,0),T23/$N21),1)</f>
        <v>1</v>
      </c>
      <c r="U22" s="168">
        <f>MIN(IF($B23,U21+IF(ISNUMBER(T22),T22,0),U23/$N21),1)</f>
        <v>1</v>
      </c>
      <c r="V22" s="168">
        <f>MIN(IF($B23,V21+IF(ISNUMBER(U22),U22,0),V23/$N21),1)</f>
        <v>1</v>
      </c>
      <c r="W22" s="168">
        <f>MIN(IF($B23,W21+IF(ISNUMBER(V22),V22,0),W23/$N21),1)</f>
        <v>1</v>
      </c>
      <c r="X22" s="196"/>
      <c r="AC22" s="168">
        <f>MIN(IF($B23,AC21+IF(ISNUMBER(AB22),AB22,0),AC23/$N21),1)</f>
        <v>0</v>
      </c>
    </row>
    <row r="23" spans="1:29" ht="14.25">
      <c r="A23" s="184">
        <f ca="1">OFFSET(A23,-CFF.NumLinha,0)+1</f>
        <v>2</v>
      </c>
      <c r="B23" s="184" t="b">
        <f ca="1">$C23&gt;=OFFSET($C23,CFF.NumLinha,0)</f>
        <v>1</v>
      </c>
      <c r="C23" s="184">
        <f>INDEX(PO!A$12:A$50,MATCH($A23,PO!$V$12:$V$50,0))</f>
        <v>2</v>
      </c>
      <c r="D23" s="184">
        <f>IF(ISERROR(J23),I23,SMALL(I23:J23,1))-1</f>
        <v>2</v>
      </c>
      <c r="E23" s="184">
        <f ca="1">IF($C23=1,OFFSET(E23,-CFF.NumLinha,0)+1,OFFSET(E23,-CFF.NumLinha,0))</f>
        <v>1</v>
      </c>
      <c r="F23" s="184">
        <f ca="1">IF($C23=1,0,IF($C23=2,OFFSET(F23,-CFF.NumLinha,0)+1,OFFSET(F23,-CFF.NumLinha,0)))</f>
        <v>1</v>
      </c>
      <c r="G23" s="184">
        <f ca="1">IF(AND($C23&lt;=2,$C23&lt;&gt;0),0,IF($C23=3,OFFSET(G23,-CFF.NumLinha,0)+1,OFFSET(G23,-CFF.NumLinha,0)))</f>
        <v>0</v>
      </c>
      <c r="H23" s="184">
        <f ca="1">IF(AND($C23&lt;=3,$C23&lt;&gt;0),0,IF($C23=4,OFFSET(H23,-CFF.NumLinha,0)+1,OFFSET(H23,-CFF.NumLinha,0)))</f>
        <v>0</v>
      </c>
      <c r="I23" s="184">
        <f ca="1">MATCH(0,OFFSET($D23,1,$C23,ROW($A$45)-ROW($A23)),0)</f>
        <v>22</v>
      </c>
      <c r="J23" s="184">
        <f ca="1">MATCH(OFFSET($D23,0,$C23)+1,OFFSET($D23,1,$C23,ROW($A$45)-ROW($A23)),0)</f>
        <v>3</v>
      </c>
      <c r="K23" s="185">
        <f>ROUND(INDEX(PO!T$12:T$50,MATCH($A23,PO!$V$12:$V$50,0)),2)+10^-12</f>
        <v>1E-12</v>
      </c>
      <c r="L23" s="375"/>
      <c r="M23" s="377"/>
      <c r="N23" s="388"/>
      <c r="O23" s="204" t="s">
        <v>20</v>
      </c>
      <c r="P23" s="199">
        <f aca="true" ca="1" t="shared" si="9" ref="P23:W23">IF($B23,ROUND(P22*$N21,2),ROUND(SUMIF(OFFSET($B23,1,0,$D23),TRUE,OFFSET(P23,1,0,$D23))/SUMIF(OFFSET($B23,1,0,$D23),TRUE,OFFSET($K23,1,0,$D23))*$N21,2))</f>
        <v>0</v>
      </c>
      <c r="Q23" s="169">
        <f ca="1" t="shared" si="9"/>
        <v>0</v>
      </c>
      <c r="R23" s="169">
        <f ca="1" t="shared" si="9"/>
        <v>0</v>
      </c>
      <c r="S23" s="169">
        <f ca="1" t="shared" si="9"/>
        <v>0</v>
      </c>
      <c r="T23" s="169">
        <f ca="1" t="shared" si="9"/>
        <v>0</v>
      </c>
      <c r="U23" s="169">
        <f ca="1" t="shared" si="9"/>
        <v>0</v>
      </c>
      <c r="V23" s="169">
        <f ca="1" t="shared" si="9"/>
        <v>0</v>
      </c>
      <c r="W23" s="207">
        <f ca="1" t="shared" si="9"/>
        <v>0</v>
      </c>
      <c r="X23" s="196"/>
      <c r="AC23" s="169">
        <f ca="1">IF($B23,ROUND(AC22*$N21,2),ROUND(SUMIF(OFFSET($B23,1,0,$D23),TRUE,OFFSET(AC23,1,0,$D23))/SUMIF(OFFSET($B23,1,0,$D23),TRUE,OFFSET($K23,1,0,$D23))*$N21,2))</f>
        <v>0</v>
      </c>
    </row>
    <row r="24" spans="1:29" ht="14.25" customHeight="1">
      <c r="A24" s="82"/>
      <c r="B24" s="82"/>
      <c r="C24" s="82"/>
      <c r="D24" s="82"/>
      <c r="E24" s="82"/>
      <c r="F24" s="82"/>
      <c r="G24" s="82"/>
      <c r="H24" s="82"/>
      <c r="I24" s="82"/>
      <c r="J24" s="82"/>
      <c r="K24" s="82"/>
      <c r="L24" s="374" t="str">
        <f>INDEX(PO!K$12:K$50,MATCH($A26,PO!$V$12:$V$50,0))</f>
        <v>1.2.</v>
      </c>
      <c r="M24" s="376" t="str">
        <f>INDEX(PO!N$12:N$50,MATCH($A26,PO!$V$12:$V$50,0))</f>
        <v>CICLOVIA PRÉVIA (GUIA E GRAMA)</v>
      </c>
      <c r="N24" s="387">
        <f>IF(ROUND(K26,2)=0,K26,ROUND(K26,2))</f>
        <v>1E-12</v>
      </c>
      <c r="O24" s="220" t="s">
        <v>144</v>
      </c>
      <c r="P24" s="225">
        <v>0.2</v>
      </c>
      <c r="Q24" s="226">
        <v>0.5</v>
      </c>
      <c r="R24" s="226">
        <v>0.3</v>
      </c>
      <c r="S24" s="226">
        <v>0.1</v>
      </c>
      <c r="T24" s="226">
        <v>0.2</v>
      </c>
      <c r="U24" s="226">
        <v>0.1</v>
      </c>
      <c r="V24" s="226">
        <v>0.1</v>
      </c>
      <c r="W24" s="227">
        <v>0.1</v>
      </c>
      <c r="X24" s="196"/>
      <c r="AC24" s="221">
        <f>IF($B26,0,AC25-IF(ISNUMBER(AB25),AB25,0))</f>
        <v>0</v>
      </c>
    </row>
    <row r="25" spans="1:29" ht="14.25">
      <c r="A25" s="184"/>
      <c r="B25" s="184"/>
      <c r="C25" s="184"/>
      <c r="D25" s="184"/>
      <c r="E25" s="184"/>
      <c r="F25" s="184"/>
      <c r="G25" s="184"/>
      <c r="H25" s="184"/>
      <c r="I25" s="184"/>
      <c r="J25" s="184"/>
      <c r="K25" s="184"/>
      <c r="L25" s="375"/>
      <c r="M25" s="377"/>
      <c r="N25" s="388"/>
      <c r="O25" s="170" t="s">
        <v>146</v>
      </c>
      <c r="P25" s="198">
        <f>MIN(IF($B26,P24+IF(ISNUMBER(O25),O25,0),P26/$N24),1)</f>
        <v>0.2</v>
      </c>
      <c r="Q25" s="168">
        <f>MIN(IF($B26,Q24+IF(ISNUMBER(P25),P25,0),Q26/$N24),1)</f>
        <v>0.7</v>
      </c>
      <c r="R25" s="168">
        <f>MIN(IF($B26,R24+IF(ISNUMBER(Q25),Q25,0),R26/$N24),1)</f>
        <v>1</v>
      </c>
      <c r="S25" s="168">
        <f>MIN(IF($B26,S24+IF(ISNUMBER(R25),R25,0),S26/$N24),1)</f>
        <v>1</v>
      </c>
      <c r="T25" s="168">
        <f>MIN(IF($B26,T24+IF(ISNUMBER(S25),S25,0),T26/$N24),1)</f>
        <v>1</v>
      </c>
      <c r="U25" s="168">
        <f>MIN(IF($B26,U24+IF(ISNUMBER(T25),T25,0),U26/$N24),1)</f>
        <v>1</v>
      </c>
      <c r="V25" s="168">
        <f>MIN(IF($B26,V24+IF(ISNUMBER(U25),U25,0),V26/$N24),1)</f>
        <v>1</v>
      </c>
      <c r="W25" s="168">
        <f>MIN(IF($B26,W24+IF(ISNUMBER(V25),V25,0),W26/$N24),1)</f>
        <v>1</v>
      </c>
      <c r="X25" s="196"/>
      <c r="AC25" s="168">
        <f>MIN(IF($B26,AC24+IF(ISNUMBER(AB25),AB25,0),AC26/$N24),1)</f>
        <v>0</v>
      </c>
    </row>
    <row r="26" spans="1:29" ht="14.25">
      <c r="A26" s="184">
        <f ca="1">OFFSET(A26,-CFF.NumLinha,0)+1</f>
        <v>3</v>
      </c>
      <c r="B26" s="184" t="b">
        <f ca="1">$C26&gt;=OFFSET($C26,CFF.NumLinha,0)</f>
        <v>1</v>
      </c>
      <c r="C26" s="184">
        <f>INDEX(PO!A$12:A$50,MATCH($A26,PO!$V$12:$V$50,0))</f>
        <v>2</v>
      </c>
      <c r="D26" s="184">
        <f>IF(ISERROR(J26),I26,SMALL(I26:J26,1))-1</f>
        <v>2</v>
      </c>
      <c r="E26" s="184">
        <f ca="1">IF($C26=1,OFFSET(E26,-CFF.NumLinha,0)+1,OFFSET(E26,-CFF.NumLinha,0))</f>
        <v>1</v>
      </c>
      <c r="F26" s="184">
        <f ca="1">IF($C26=1,0,IF($C26=2,OFFSET(F26,-CFF.NumLinha,0)+1,OFFSET(F26,-CFF.NumLinha,0)))</f>
        <v>2</v>
      </c>
      <c r="G26" s="184">
        <f ca="1">IF(AND($C26&lt;=2,$C26&lt;&gt;0),0,IF($C26=3,OFFSET(G26,-CFF.NumLinha,0)+1,OFFSET(G26,-CFF.NumLinha,0)))</f>
        <v>0</v>
      </c>
      <c r="H26" s="184">
        <f ca="1">IF(AND($C26&lt;=3,$C26&lt;&gt;0),0,IF($C26=4,OFFSET(H26,-CFF.NumLinha,0)+1,OFFSET(H26,-CFF.NumLinha,0)))</f>
        <v>0</v>
      </c>
      <c r="I26" s="184">
        <f ca="1">MATCH(0,OFFSET($D26,1,$C26,ROW($A$45)-ROW($A26)),0)</f>
        <v>19</v>
      </c>
      <c r="J26" s="184">
        <f ca="1">MATCH(OFFSET($D26,0,$C26)+1,OFFSET($D26,1,$C26,ROW($A$45)-ROW($A26)),0)</f>
        <v>3</v>
      </c>
      <c r="K26" s="185">
        <f>ROUND(INDEX(PO!T$12:T$50,MATCH($A26,PO!$V$12:$V$50,0)),2)+10^-12</f>
        <v>1E-12</v>
      </c>
      <c r="L26" s="375"/>
      <c r="M26" s="377"/>
      <c r="N26" s="388"/>
      <c r="O26" s="204" t="s">
        <v>20</v>
      </c>
      <c r="P26" s="199">
        <f aca="true" ca="1" t="shared" si="10" ref="P26:W26">IF($B26,ROUND(P25*$N24,2),ROUND(SUMIF(OFFSET($B26,1,0,$D26),TRUE,OFFSET(P26,1,0,$D26))/SUMIF(OFFSET($B26,1,0,$D26),TRUE,OFFSET($K26,1,0,$D26))*$N24,2))</f>
        <v>0</v>
      </c>
      <c r="Q26" s="169">
        <f ca="1" t="shared" si="10"/>
        <v>0</v>
      </c>
      <c r="R26" s="169">
        <f ca="1" t="shared" si="10"/>
        <v>0</v>
      </c>
      <c r="S26" s="169">
        <f ca="1" t="shared" si="10"/>
        <v>0</v>
      </c>
      <c r="T26" s="169">
        <f ca="1" t="shared" si="10"/>
        <v>0</v>
      </c>
      <c r="U26" s="169">
        <f ca="1" t="shared" si="10"/>
        <v>0</v>
      </c>
      <c r="V26" s="169">
        <f ca="1" t="shared" si="10"/>
        <v>0</v>
      </c>
      <c r="W26" s="207">
        <f ca="1" t="shared" si="10"/>
        <v>0</v>
      </c>
      <c r="X26" s="196"/>
      <c r="AC26" s="169">
        <f ca="1">IF($B26,ROUND(AC25*$N24,2),ROUND(SUMIF(OFFSET($B26,1,0,$D26),TRUE,OFFSET(AC26,1,0,$D26))/SUMIF(OFFSET($B26,1,0,$D26),TRUE,OFFSET($K26,1,0,$D26))*$N24,2))</f>
        <v>0</v>
      </c>
    </row>
    <row r="27" spans="1:29" ht="14.25" customHeight="1">
      <c r="A27" s="82"/>
      <c r="B27" s="82"/>
      <c r="C27" s="82"/>
      <c r="D27" s="82"/>
      <c r="E27" s="82"/>
      <c r="F27" s="82"/>
      <c r="G27" s="82"/>
      <c r="H27" s="82"/>
      <c r="I27" s="82"/>
      <c r="J27" s="82"/>
      <c r="K27" s="82"/>
      <c r="L27" s="374" t="str">
        <f>INDEX(PO!K$12:K$50,MATCH($A29,PO!$V$12:$V$50,0))</f>
        <v>1.3.</v>
      </c>
      <c r="M27" s="376" t="str">
        <f>INDEX(PO!N$12:N$50,MATCH($A29,PO!$V$12:$V$50,0))</f>
        <v>ESTACIONAMENTO E AREA DE MANOBRA</v>
      </c>
      <c r="N27" s="387">
        <f>IF(ROUND(K29,2)=0,K29,ROUND(K29,2))</f>
        <v>1E-12</v>
      </c>
      <c r="O27" s="220" t="s">
        <v>144</v>
      </c>
      <c r="P27" s="225">
        <v>0.5</v>
      </c>
      <c r="Q27" s="226">
        <v>0.2</v>
      </c>
      <c r="R27" s="226">
        <v>0.3</v>
      </c>
      <c r="S27" s="226">
        <f>IF($B29,0,S28-IF(ISNUMBER(R28),R28,0))</f>
        <v>0</v>
      </c>
      <c r="T27" s="226">
        <f>IF($B29,0,T28-IF(ISNUMBER(S28),S28,0))</f>
        <v>0</v>
      </c>
      <c r="U27" s="226">
        <f>IF($B29,0,U28-IF(ISNUMBER(T28),T28,0))</f>
        <v>0</v>
      </c>
      <c r="V27" s="226">
        <f>IF($B29,0,V28-IF(ISNUMBER(U28),U28,0))</f>
        <v>0</v>
      </c>
      <c r="W27" s="227">
        <f>IF($B29,0,W28-IF(ISNUMBER(V28),V28,0))</f>
        <v>0</v>
      </c>
      <c r="X27" s="196"/>
      <c r="AC27" s="221">
        <f>IF($B29,0,AC28-IF(ISNUMBER(AB28),AB28,0))</f>
        <v>0</v>
      </c>
    </row>
    <row r="28" spans="1:29" ht="14.25">
      <c r="A28" s="184"/>
      <c r="B28" s="184"/>
      <c r="C28" s="184"/>
      <c r="D28" s="184"/>
      <c r="E28" s="184"/>
      <c r="F28" s="184"/>
      <c r="G28" s="184"/>
      <c r="H28" s="184"/>
      <c r="I28" s="184"/>
      <c r="J28" s="184"/>
      <c r="K28" s="184"/>
      <c r="L28" s="375"/>
      <c r="M28" s="377"/>
      <c r="N28" s="388"/>
      <c r="O28" s="170" t="s">
        <v>146</v>
      </c>
      <c r="P28" s="198">
        <f>MIN(IF($B29,P27+IF(ISNUMBER(O28),O28,0),P29/$N27),1)</f>
        <v>0.5</v>
      </c>
      <c r="Q28" s="168">
        <f>MIN(IF($B29,Q27+IF(ISNUMBER(P28),P28,0),Q29/$N27),1)</f>
        <v>0.7</v>
      </c>
      <c r="R28" s="168">
        <f>MIN(IF($B29,R27+IF(ISNUMBER(Q28),Q28,0),R29/$N27),1)</f>
        <v>1</v>
      </c>
      <c r="S28" s="168">
        <f>MIN(IF($B29,S27+IF(ISNUMBER(R28),R28,0),S29/$N27),1)</f>
        <v>1</v>
      </c>
      <c r="T28" s="168">
        <f>MIN(IF($B29,T27+IF(ISNUMBER(S28),S28,0),T29/$N27),1)</f>
        <v>1</v>
      </c>
      <c r="U28" s="168">
        <f>MIN(IF($B29,U27+IF(ISNUMBER(T28),T28,0),U29/$N27),1)</f>
        <v>1</v>
      </c>
      <c r="V28" s="168">
        <f>MIN(IF($B29,V27+IF(ISNUMBER(U28),U28,0),V29/$N27),1)</f>
        <v>1</v>
      </c>
      <c r="W28" s="168">
        <f>MIN(IF($B29,W27+IF(ISNUMBER(V28),V28,0),W29/$N27),1)</f>
        <v>1</v>
      </c>
      <c r="X28" s="196"/>
      <c r="AC28" s="168">
        <f>MIN(IF($B29,AC27+IF(ISNUMBER(AB28),AB28,0),AC29/$N27),1)</f>
        <v>0</v>
      </c>
    </row>
    <row r="29" spans="1:29" ht="14.25">
      <c r="A29" s="184">
        <f ca="1">OFFSET(A29,-CFF.NumLinha,0)+1</f>
        <v>4</v>
      </c>
      <c r="B29" s="184" t="b">
        <f ca="1">$C29&gt;=OFFSET($C29,CFF.NumLinha,0)</f>
        <v>1</v>
      </c>
      <c r="C29" s="184">
        <f>INDEX(PO!A$12:A$50,MATCH($A29,PO!$V$12:$V$50,0))</f>
        <v>2</v>
      </c>
      <c r="D29" s="184">
        <f>IF(ISERROR(J29),I29,SMALL(I29:J29,1))-1</f>
        <v>2</v>
      </c>
      <c r="E29" s="184">
        <f ca="1">IF($C29=1,OFFSET(E29,-CFF.NumLinha,0)+1,OFFSET(E29,-CFF.NumLinha,0))</f>
        <v>1</v>
      </c>
      <c r="F29" s="184">
        <f ca="1">IF($C29=1,0,IF($C29=2,OFFSET(F29,-CFF.NumLinha,0)+1,OFFSET(F29,-CFF.NumLinha,0)))</f>
        <v>3</v>
      </c>
      <c r="G29" s="184">
        <f ca="1">IF(AND($C29&lt;=2,$C29&lt;&gt;0),0,IF($C29=3,OFFSET(G29,-CFF.NumLinha,0)+1,OFFSET(G29,-CFF.NumLinha,0)))</f>
        <v>0</v>
      </c>
      <c r="H29" s="184">
        <f ca="1">IF(AND($C29&lt;=3,$C29&lt;&gt;0),0,IF($C29=4,OFFSET(H29,-CFF.NumLinha,0)+1,OFFSET(H29,-CFF.NumLinha,0)))</f>
        <v>0</v>
      </c>
      <c r="I29" s="184">
        <f ca="1">MATCH(0,OFFSET($D29,1,$C29,ROW($A$45)-ROW($A29)),0)</f>
        <v>16</v>
      </c>
      <c r="J29" s="184">
        <f ca="1">MATCH(OFFSET($D29,0,$C29)+1,OFFSET($D29,1,$C29,ROW($A$45)-ROW($A29)),0)</f>
        <v>3</v>
      </c>
      <c r="K29" s="185">
        <f>ROUND(INDEX(PO!T$12:T$50,MATCH($A29,PO!$V$12:$V$50,0)),2)+10^-12</f>
        <v>1E-12</v>
      </c>
      <c r="L29" s="375"/>
      <c r="M29" s="377"/>
      <c r="N29" s="388"/>
      <c r="O29" s="204" t="s">
        <v>20</v>
      </c>
      <c r="P29" s="199">
        <f aca="true" ca="1" t="shared" si="11" ref="P29:W29">IF($B29,ROUND(P28*$N27,2),ROUND(SUMIF(OFFSET($B29,1,0,$D29),TRUE,OFFSET(P29,1,0,$D29))/SUMIF(OFFSET($B29,1,0,$D29),TRUE,OFFSET($K29,1,0,$D29))*$N27,2))</f>
        <v>0</v>
      </c>
      <c r="Q29" s="169">
        <f ca="1" t="shared" si="11"/>
        <v>0</v>
      </c>
      <c r="R29" s="169">
        <f ca="1" t="shared" si="11"/>
        <v>0</v>
      </c>
      <c r="S29" s="169">
        <f ca="1" t="shared" si="11"/>
        <v>0</v>
      </c>
      <c r="T29" s="169">
        <f ca="1" t="shared" si="11"/>
        <v>0</v>
      </c>
      <c r="U29" s="169">
        <f ca="1" t="shared" si="11"/>
        <v>0</v>
      </c>
      <c r="V29" s="169">
        <f ca="1" t="shared" si="11"/>
        <v>0</v>
      </c>
      <c r="W29" s="207">
        <f ca="1" t="shared" si="11"/>
        <v>0</v>
      </c>
      <c r="X29" s="196"/>
      <c r="AC29" s="169">
        <f ca="1">IF($B29,ROUND(AC28*$N27,2),ROUND(SUMIF(OFFSET($B29,1,0,$D29),TRUE,OFFSET(AC29,1,0,$D29))/SUMIF(OFFSET($B29,1,0,$D29),TRUE,OFFSET($K29,1,0,$D29))*$N27,2))</f>
        <v>0</v>
      </c>
    </row>
    <row r="30" spans="1:29" ht="14.25" customHeight="1">
      <c r="A30" s="82"/>
      <c r="B30" s="82"/>
      <c r="C30" s="82"/>
      <c r="D30" s="82"/>
      <c r="E30" s="82"/>
      <c r="F30" s="82"/>
      <c r="G30" s="82"/>
      <c r="H30" s="82"/>
      <c r="I30" s="82"/>
      <c r="J30" s="82"/>
      <c r="K30" s="82"/>
      <c r="L30" s="374" t="str">
        <f>INDEX(PO!K$12:K$50,MATCH($A32,PO!$V$12:$V$50,0))</f>
        <v>1.4.</v>
      </c>
      <c r="M30" s="376" t="str">
        <f>INDEX(PO!N$12:N$50,MATCH($A32,PO!$V$12:$V$50,0))</f>
        <v>PASSAGEM PARA PEDESTRES NOS CANTEIROS</v>
      </c>
      <c r="N30" s="387">
        <f>IF(ROUND(K32,2)=0,K32,ROUND(K32,2))</f>
        <v>1E-12</v>
      </c>
      <c r="O30" s="220" t="s">
        <v>144</v>
      </c>
      <c r="P30" s="225">
        <f>IF($B32,0,P31-IF(ISNUMBER(O31),O31,0))</f>
        <v>0</v>
      </c>
      <c r="Q30" s="226">
        <v>0.5</v>
      </c>
      <c r="R30" s="226">
        <v>0.5</v>
      </c>
      <c r="S30" s="226">
        <v>0.3</v>
      </c>
      <c r="T30" s="226">
        <v>0.2</v>
      </c>
      <c r="U30" s="226">
        <v>0.1</v>
      </c>
      <c r="V30" s="226">
        <v>0.2</v>
      </c>
      <c r="W30" s="227">
        <f>IF($B32,0,W31-IF(ISNUMBER(V31),V31,0))</f>
        <v>0</v>
      </c>
      <c r="X30" s="196"/>
      <c r="AC30" s="221">
        <f>IF($B32,0,AC31-IF(ISNUMBER(AB31),AB31,0))</f>
        <v>0</v>
      </c>
    </row>
    <row r="31" spans="1:29" ht="14.25">
      <c r="A31" s="184"/>
      <c r="B31" s="184"/>
      <c r="C31" s="184"/>
      <c r="D31" s="184"/>
      <c r="E31" s="184"/>
      <c r="F31" s="184"/>
      <c r="G31" s="184"/>
      <c r="H31" s="184"/>
      <c r="I31" s="184"/>
      <c r="J31" s="184"/>
      <c r="K31" s="184"/>
      <c r="L31" s="375"/>
      <c r="M31" s="377"/>
      <c r="N31" s="388"/>
      <c r="O31" s="170" t="s">
        <v>146</v>
      </c>
      <c r="P31" s="198">
        <f>MIN(IF($B32,P30+IF(ISNUMBER(O31),O31,0),P32/$N30),1)</f>
        <v>0</v>
      </c>
      <c r="Q31" s="168">
        <f>MIN(IF($B32,Q30+IF(ISNUMBER(P31),P31,0),Q32/$N30),1)</f>
        <v>0.5</v>
      </c>
      <c r="R31" s="168">
        <f>MIN(IF($B32,R30+IF(ISNUMBER(Q31),Q31,0),R32/$N30),1)</f>
        <v>1</v>
      </c>
      <c r="S31" s="168">
        <f>MIN(IF($B32,S30+IF(ISNUMBER(R31),R31,0),S32/$N30),1)</f>
        <v>1</v>
      </c>
      <c r="T31" s="168">
        <f>MIN(IF($B32,T30+IF(ISNUMBER(S31),S31,0),T32/$N30),1)</f>
        <v>1</v>
      </c>
      <c r="U31" s="168">
        <f>MIN(IF($B32,U30+IF(ISNUMBER(T31),T31,0),U32/$N30),1)</f>
        <v>1</v>
      </c>
      <c r="V31" s="168">
        <f>MIN(IF($B32,V30+IF(ISNUMBER(U31),U31,0),V32/$N30),1)</f>
        <v>1</v>
      </c>
      <c r="W31" s="168">
        <f>MIN(IF($B32,W30+IF(ISNUMBER(V31),V31,0),W32/$N30),1)</f>
        <v>1</v>
      </c>
      <c r="X31" s="196"/>
      <c r="AC31" s="168">
        <f>MIN(IF($B32,AC30+IF(ISNUMBER(AB31),AB31,0),AC32/$N30),1)</f>
        <v>0</v>
      </c>
    </row>
    <row r="32" spans="1:29" ht="14.25">
      <c r="A32" s="184">
        <f ca="1">OFFSET(A32,-CFF.NumLinha,0)+1</f>
        <v>5</v>
      </c>
      <c r="B32" s="184" t="b">
        <f ca="1">$C32&gt;=OFFSET($C32,CFF.NumLinha,0)</f>
        <v>1</v>
      </c>
      <c r="C32" s="184">
        <f>INDEX(PO!A$12:A$50,MATCH($A32,PO!$V$12:$V$50,0))</f>
        <v>2</v>
      </c>
      <c r="D32" s="184">
        <f>IF(ISERROR(J32),I32,SMALL(I32:J32,1))-1</f>
        <v>2</v>
      </c>
      <c r="E32" s="184">
        <f ca="1">IF($C32=1,OFFSET(E32,-CFF.NumLinha,0)+1,OFFSET(E32,-CFF.NumLinha,0))</f>
        <v>1</v>
      </c>
      <c r="F32" s="184">
        <f ca="1">IF($C32=1,0,IF($C32=2,OFFSET(F32,-CFF.NumLinha,0)+1,OFFSET(F32,-CFF.NumLinha,0)))</f>
        <v>4</v>
      </c>
      <c r="G32" s="184">
        <f ca="1">IF(AND($C32&lt;=2,$C32&lt;&gt;0),0,IF($C32=3,OFFSET(G32,-CFF.NumLinha,0)+1,OFFSET(G32,-CFF.NumLinha,0)))</f>
        <v>0</v>
      </c>
      <c r="H32" s="184">
        <f ca="1">IF(AND($C32&lt;=3,$C32&lt;&gt;0),0,IF($C32=4,OFFSET(H32,-CFF.NumLinha,0)+1,OFFSET(H32,-CFF.NumLinha,0)))</f>
        <v>0</v>
      </c>
      <c r="I32" s="184">
        <f ca="1">MATCH(0,OFFSET($D32,1,$C32,ROW($A$45)-ROW($A32)),0)</f>
        <v>13</v>
      </c>
      <c r="J32" s="184">
        <f ca="1">MATCH(OFFSET($D32,0,$C32)+1,OFFSET($D32,1,$C32,ROW($A$45)-ROW($A32)),0)</f>
        <v>3</v>
      </c>
      <c r="K32" s="185">
        <f>ROUND(INDEX(PO!T$12:T$50,MATCH($A32,PO!$V$12:$V$50,0)),2)+10^-12</f>
        <v>1E-12</v>
      </c>
      <c r="L32" s="375"/>
      <c r="M32" s="377"/>
      <c r="N32" s="388"/>
      <c r="O32" s="204" t="s">
        <v>20</v>
      </c>
      <c r="P32" s="199">
        <f aca="true" ca="1" t="shared" si="12" ref="P32:W32">IF($B32,ROUND(P31*$N30,2),ROUND(SUMIF(OFFSET($B32,1,0,$D32),TRUE,OFFSET(P32,1,0,$D32))/SUMIF(OFFSET($B32,1,0,$D32),TRUE,OFFSET($K32,1,0,$D32))*$N30,2))</f>
        <v>0</v>
      </c>
      <c r="Q32" s="169">
        <f ca="1" t="shared" si="12"/>
        <v>0</v>
      </c>
      <c r="R32" s="169">
        <f ca="1" t="shared" si="12"/>
        <v>0</v>
      </c>
      <c r="S32" s="169">
        <f ca="1" t="shared" si="12"/>
        <v>0</v>
      </c>
      <c r="T32" s="169">
        <f ca="1" t="shared" si="12"/>
        <v>0</v>
      </c>
      <c r="U32" s="169">
        <f ca="1" t="shared" si="12"/>
        <v>0</v>
      </c>
      <c r="V32" s="169">
        <f ca="1" t="shared" si="12"/>
        <v>0</v>
      </c>
      <c r="W32" s="207">
        <f ca="1" t="shared" si="12"/>
        <v>0</v>
      </c>
      <c r="X32" s="196"/>
      <c r="AC32" s="169">
        <f ca="1">IF($B32,ROUND(AC31*$N30,2),ROUND(SUMIF(OFFSET($B32,1,0,$D32),TRUE,OFFSET(AC32,1,0,$D32))/SUMIF(OFFSET($B32,1,0,$D32),TRUE,OFFSET($K32,1,0,$D32))*$N30,2))</f>
        <v>0</v>
      </c>
    </row>
    <row r="33" spans="1:29" ht="14.25" customHeight="1">
      <c r="A33" s="82"/>
      <c r="B33" s="82"/>
      <c r="C33" s="82"/>
      <c r="D33" s="82"/>
      <c r="E33" s="82"/>
      <c r="F33" s="82"/>
      <c r="G33" s="82"/>
      <c r="H33" s="82"/>
      <c r="I33" s="82"/>
      <c r="J33" s="82"/>
      <c r="K33" s="82"/>
      <c r="L33" s="374" t="str">
        <f>INDEX(PO!K$12:K$50,MATCH($A35,PO!$V$12:$V$50,0))</f>
        <v>1.5.</v>
      </c>
      <c r="M33" s="376" t="str">
        <f>INDEX(PO!N$12:N$50,MATCH($A35,PO!$V$12:$V$50,0))</f>
        <v>SINALIZAÇÃO DE TRANSITO VERTICAL E HORIZONTAL</v>
      </c>
      <c r="N33" s="387">
        <f>IF(ROUND(K35,2)=0,K35,ROUND(K35,2))</f>
        <v>1E-12</v>
      </c>
      <c r="O33" s="220" t="s">
        <v>144</v>
      </c>
      <c r="P33" s="225">
        <v>0.1</v>
      </c>
      <c r="Q33" s="226">
        <v>0.4</v>
      </c>
      <c r="R33" s="226">
        <v>0.5</v>
      </c>
      <c r="S33" s="226">
        <v>0</v>
      </c>
      <c r="T33" s="226">
        <v>0.2</v>
      </c>
      <c r="U33" s="226">
        <v>0.3</v>
      </c>
      <c r="V33" s="226">
        <v>0.4</v>
      </c>
      <c r="W33" s="227">
        <v>0.1</v>
      </c>
      <c r="X33" s="196"/>
      <c r="AC33" s="221">
        <f>IF($B35,0,AC34-IF(ISNUMBER(AB34),AB34,0))</f>
        <v>0</v>
      </c>
    </row>
    <row r="34" spans="1:29" ht="14.25">
      <c r="A34" s="184"/>
      <c r="B34" s="184"/>
      <c r="C34" s="184"/>
      <c r="D34" s="184"/>
      <c r="E34" s="184"/>
      <c r="F34" s="184"/>
      <c r="G34" s="184"/>
      <c r="H34" s="184"/>
      <c r="I34" s="184"/>
      <c r="J34" s="184"/>
      <c r="K34" s="184"/>
      <c r="L34" s="375"/>
      <c r="M34" s="377"/>
      <c r="N34" s="388"/>
      <c r="O34" s="170" t="s">
        <v>146</v>
      </c>
      <c r="P34" s="198">
        <f>MIN(IF($B35,P33+IF(ISNUMBER(O34),O34,0),P35/$N33),1)</f>
        <v>0.1</v>
      </c>
      <c r="Q34" s="168">
        <f>MIN(IF($B35,Q33+IF(ISNUMBER(P34),P34,0),Q35/$N33),1)</f>
        <v>0.5</v>
      </c>
      <c r="R34" s="168">
        <f>MIN(IF($B35,R33+IF(ISNUMBER(Q34),Q34,0),R35/$N33),1)</f>
        <v>1</v>
      </c>
      <c r="S34" s="168">
        <f>MIN(IF($B35,S33+IF(ISNUMBER(R34),R34,0),S35/$N33),1)</f>
        <v>1</v>
      </c>
      <c r="T34" s="168">
        <f>MIN(IF($B35,T33+IF(ISNUMBER(S34),S34,0),T35/$N33),1)</f>
        <v>1</v>
      </c>
      <c r="U34" s="168">
        <f>MIN(IF($B35,U33+IF(ISNUMBER(T34),T34,0),U35/$N33),1)</f>
        <v>1</v>
      </c>
      <c r="V34" s="168">
        <f>MIN(IF($B35,V33+IF(ISNUMBER(U34),U34,0),V35/$N33),1)</f>
        <v>1</v>
      </c>
      <c r="W34" s="168">
        <f>MIN(IF($B35,W33+IF(ISNUMBER(V34),V34,0),W35/$N33),1)</f>
        <v>1</v>
      </c>
      <c r="X34" s="196"/>
      <c r="AC34" s="168">
        <f>MIN(IF($B35,AC33+IF(ISNUMBER(AB34),AB34,0),AC35/$N33),1)</f>
        <v>0</v>
      </c>
    </row>
    <row r="35" spans="1:29" ht="14.25">
      <c r="A35" s="184">
        <f ca="1">OFFSET(A35,-CFF.NumLinha,0)+1</f>
        <v>6</v>
      </c>
      <c r="B35" s="184" t="b">
        <f ca="1">$C35&gt;=OFFSET($C35,CFF.NumLinha,0)</f>
        <v>1</v>
      </c>
      <c r="C35" s="184">
        <f>INDEX(PO!A$12:A$50,MATCH($A35,PO!$V$12:$V$50,0))</f>
        <v>2</v>
      </c>
      <c r="D35" s="184">
        <f>IF(ISERROR(J35),I35,SMALL(I35:J35,1))-1</f>
        <v>2</v>
      </c>
      <c r="E35" s="184">
        <f ca="1">IF($C35=1,OFFSET(E35,-CFF.NumLinha,0)+1,OFFSET(E35,-CFF.NumLinha,0))</f>
        <v>1</v>
      </c>
      <c r="F35" s="184">
        <f ca="1">IF($C35=1,0,IF($C35=2,OFFSET(F35,-CFF.NumLinha,0)+1,OFFSET(F35,-CFF.NumLinha,0)))</f>
        <v>5</v>
      </c>
      <c r="G35" s="184">
        <f ca="1">IF(AND($C35&lt;=2,$C35&lt;&gt;0),0,IF($C35=3,OFFSET(G35,-CFF.NumLinha,0)+1,OFFSET(G35,-CFF.NumLinha,0)))</f>
        <v>0</v>
      </c>
      <c r="H35" s="184">
        <f ca="1">IF(AND($C35&lt;=3,$C35&lt;&gt;0),0,IF($C35=4,OFFSET(H35,-CFF.NumLinha,0)+1,OFFSET(H35,-CFF.NumLinha,0)))</f>
        <v>0</v>
      </c>
      <c r="I35" s="184">
        <f ca="1">MATCH(0,OFFSET($D35,1,$C35,ROW($A$45)-ROW($A35)),0)</f>
        <v>10</v>
      </c>
      <c r="J35" s="184">
        <f ca="1">MATCH(OFFSET($D35,0,$C35)+1,OFFSET($D35,1,$C35,ROW($A$45)-ROW($A35)),0)</f>
        <v>3</v>
      </c>
      <c r="K35" s="185">
        <f>ROUND(INDEX(PO!T$12:T$50,MATCH($A35,PO!$V$12:$V$50,0)),2)+10^-12</f>
        <v>1E-12</v>
      </c>
      <c r="L35" s="375"/>
      <c r="M35" s="377"/>
      <c r="N35" s="388"/>
      <c r="O35" s="204" t="s">
        <v>20</v>
      </c>
      <c r="P35" s="199">
        <f aca="true" ca="1" t="shared" si="13" ref="P35:W35">IF($B35,ROUND(P34*$N33,2),ROUND(SUMIF(OFFSET($B35,1,0,$D35),TRUE,OFFSET(P35,1,0,$D35))/SUMIF(OFFSET($B35,1,0,$D35),TRUE,OFFSET($K35,1,0,$D35))*$N33,2))</f>
        <v>0</v>
      </c>
      <c r="Q35" s="169">
        <f ca="1" t="shared" si="13"/>
        <v>0</v>
      </c>
      <c r="R35" s="169">
        <f ca="1" t="shared" si="13"/>
        <v>0</v>
      </c>
      <c r="S35" s="169">
        <f ca="1" t="shared" si="13"/>
        <v>0</v>
      </c>
      <c r="T35" s="169">
        <f ca="1" t="shared" si="13"/>
        <v>0</v>
      </c>
      <c r="U35" s="169">
        <f ca="1" t="shared" si="13"/>
        <v>0</v>
      </c>
      <c r="V35" s="169">
        <f ca="1" t="shared" si="13"/>
        <v>0</v>
      </c>
      <c r="W35" s="207">
        <f ca="1" t="shared" si="13"/>
        <v>0</v>
      </c>
      <c r="X35" s="196"/>
      <c r="AC35" s="169">
        <f ca="1">IF($B35,ROUND(AC34*$N33,2),ROUND(SUMIF(OFFSET($B35,1,0,$D35),TRUE,OFFSET(AC35,1,0,$D35))/SUMIF(OFFSET($B35,1,0,$D35),TRUE,OFFSET($K35,1,0,$D35))*$N33,2))</f>
        <v>0</v>
      </c>
    </row>
    <row r="36" spans="1:29" ht="14.25" customHeight="1">
      <c r="A36" s="82"/>
      <c r="B36" s="82"/>
      <c r="C36" s="82"/>
      <c r="D36" s="82"/>
      <c r="E36" s="82"/>
      <c r="F36" s="82"/>
      <c r="G36" s="82"/>
      <c r="H36" s="82"/>
      <c r="I36" s="82"/>
      <c r="J36" s="82"/>
      <c r="K36" s="82"/>
      <c r="L36" s="374" t="str">
        <f>INDEX(PO!K$12:K$50,MATCH($A38,PO!$V$12:$V$50,0))</f>
        <v>1.6.</v>
      </c>
      <c r="M36" s="376" t="str">
        <f>INDEX(PO!N$12:N$50,MATCH($A38,PO!$V$12:$V$50,0))</f>
        <v>ABERTURAS DE CANTEIROS</v>
      </c>
      <c r="N36" s="387">
        <f>IF(ROUND(K38,2)=0,K38,ROUND(K38,2))</f>
        <v>1E-12</v>
      </c>
      <c r="O36" s="220" t="s">
        <v>144</v>
      </c>
      <c r="P36" s="225">
        <v>0.2</v>
      </c>
      <c r="Q36" s="226">
        <v>0.15</v>
      </c>
      <c r="R36" s="226">
        <v>0.65</v>
      </c>
      <c r="S36" s="226">
        <v>0.1</v>
      </c>
      <c r="T36" s="226">
        <v>0.2</v>
      </c>
      <c r="U36" s="226">
        <v>0.183333333333333</v>
      </c>
      <c r="V36" s="226">
        <v>0.133333333333333</v>
      </c>
      <c r="W36" s="226">
        <v>0.0833333333333333</v>
      </c>
      <c r="X36" s="196"/>
      <c r="AC36" s="221">
        <f>IF($B38,0,AC37-IF(ISNUMBER(AB37),AB37,0))</f>
        <v>0</v>
      </c>
    </row>
    <row r="37" spans="1:29" ht="14.25">
      <c r="A37" s="184"/>
      <c r="B37" s="184"/>
      <c r="C37" s="184"/>
      <c r="D37" s="184"/>
      <c r="E37" s="184"/>
      <c r="F37" s="184"/>
      <c r="G37" s="184"/>
      <c r="H37" s="184"/>
      <c r="I37" s="184"/>
      <c r="J37" s="184"/>
      <c r="K37" s="184"/>
      <c r="L37" s="375"/>
      <c r="M37" s="377"/>
      <c r="N37" s="388"/>
      <c r="O37" s="170" t="s">
        <v>146</v>
      </c>
      <c r="P37" s="198">
        <f>MIN(IF($B38,P36+IF(ISNUMBER(O37),O37,0),P38/$N36),1)</f>
        <v>0.2</v>
      </c>
      <c r="Q37" s="168">
        <f>MIN(IF($B38,Q36+IF(ISNUMBER(P37),P37,0),Q38/$N36),1)</f>
        <v>0.35</v>
      </c>
      <c r="R37" s="168">
        <f>MIN(IF($B38,R36+IF(ISNUMBER(Q37),Q37,0),R38/$N36),1)</f>
        <v>1</v>
      </c>
      <c r="S37" s="168">
        <f>MIN(IF($B38,S36+IF(ISNUMBER(R37),R37,0),S38/$N36),1)</f>
        <v>1</v>
      </c>
      <c r="T37" s="168">
        <f>MIN(IF($B38,T36+IF(ISNUMBER(S37),S37,0),T38/$N36),1)</f>
        <v>1</v>
      </c>
      <c r="U37" s="168">
        <f>MIN(IF($B38,U36+IF(ISNUMBER(T37),T37,0),U38/$N36),1)</f>
        <v>1</v>
      </c>
      <c r="V37" s="168">
        <f>MIN(IF($B38,V36+IF(ISNUMBER(U37),U37,0),V38/$N36),1)</f>
        <v>1</v>
      </c>
      <c r="W37" s="168">
        <f>MIN(IF($B38,W36+IF(ISNUMBER(V37),V37,0),W38/$N36),1)</f>
        <v>1</v>
      </c>
      <c r="X37" s="196"/>
      <c r="AC37" s="168">
        <f>MIN(IF($B38,AC36+IF(ISNUMBER(AB37),AB37,0),AC38/$N36),1)</f>
        <v>0</v>
      </c>
    </row>
    <row r="38" spans="1:29" ht="14.25">
      <c r="A38" s="184">
        <f ca="1">OFFSET(A38,-CFF.NumLinha,0)+1</f>
        <v>7</v>
      </c>
      <c r="B38" s="184" t="b">
        <f ca="1">$C38&gt;=OFFSET($C38,CFF.NumLinha,0)</f>
        <v>1</v>
      </c>
      <c r="C38" s="184">
        <f>INDEX(PO!A$12:A$50,MATCH($A38,PO!$V$12:$V$50,0))</f>
        <v>2</v>
      </c>
      <c r="D38" s="184">
        <f>IF(ISERROR(J38),I38,SMALL(I38:J38,1))-1</f>
        <v>2</v>
      </c>
      <c r="E38" s="184">
        <f ca="1">IF($C38=1,OFFSET(E38,-CFF.NumLinha,0)+1,OFFSET(E38,-CFF.NumLinha,0))</f>
        <v>1</v>
      </c>
      <c r="F38" s="184">
        <f ca="1">IF($C38=1,0,IF($C38=2,OFFSET(F38,-CFF.NumLinha,0)+1,OFFSET(F38,-CFF.NumLinha,0)))</f>
        <v>6</v>
      </c>
      <c r="G38" s="184">
        <f ca="1">IF(AND($C38&lt;=2,$C38&lt;&gt;0),0,IF($C38=3,OFFSET(G38,-CFF.NumLinha,0)+1,OFFSET(G38,-CFF.NumLinha,0)))</f>
        <v>0</v>
      </c>
      <c r="H38" s="184">
        <f ca="1">IF(AND($C38&lt;=3,$C38&lt;&gt;0),0,IF($C38=4,OFFSET(H38,-CFF.NumLinha,0)+1,OFFSET(H38,-CFF.NumLinha,0)))</f>
        <v>0</v>
      </c>
      <c r="I38" s="184">
        <f ca="1">MATCH(0,OFFSET($D38,1,$C38,ROW($A$45)-ROW($A38)),0)</f>
        <v>7</v>
      </c>
      <c r="J38" s="184">
        <f ca="1">MATCH(OFFSET($D38,0,$C38)+1,OFFSET($D38,1,$C38,ROW($A$45)-ROW($A38)),0)</f>
        <v>3</v>
      </c>
      <c r="K38" s="185">
        <f>ROUND(INDEX(PO!T$12:T$50,MATCH($A38,PO!$V$12:$V$50,0)),2)+10^-12</f>
        <v>1E-12</v>
      </c>
      <c r="L38" s="375"/>
      <c r="M38" s="377"/>
      <c r="N38" s="388"/>
      <c r="O38" s="204" t="s">
        <v>20</v>
      </c>
      <c r="P38" s="199">
        <f ca="1">IF($B38,ROUND(P37*$N36,2),ROUND(SUMIF(OFFSET($B38,1,0,$D38),TRUE,OFFSET(P38,1,0,$D38))/SUMIF(OFFSET($B38,1,0,$D38),TRUE,OFFSET($K38,1,0,$D38))*$N36,2))</f>
        <v>0</v>
      </c>
      <c r="Q38" s="169">
        <f aca="true" ca="1" t="shared" si="14" ref="Q38:W38">IF($B38,ROUND(Q37*$N36,2),ROUND(SUMIF(OFFSET($B38,1,0,$D38),TRUE,OFFSET(Q38,1,0,$D38))/SUMIF(OFFSET($B38,1,0,$D38),TRUE,OFFSET($K38,1,0,$D38))*$N36,2))</f>
        <v>0</v>
      </c>
      <c r="R38" s="169">
        <f ca="1" t="shared" si="14"/>
        <v>0</v>
      </c>
      <c r="S38" s="169">
        <f ca="1" t="shared" si="14"/>
        <v>0</v>
      </c>
      <c r="T38" s="169">
        <f ca="1" t="shared" si="14"/>
        <v>0</v>
      </c>
      <c r="U38" s="169">
        <f ca="1" t="shared" si="14"/>
        <v>0</v>
      </c>
      <c r="V38" s="169">
        <f ca="1" t="shared" si="14"/>
        <v>0</v>
      </c>
      <c r="W38" s="207">
        <f ca="1" t="shared" si="14"/>
        <v>0</v>
      </c>
      <c r="X38" s="196"/>
      <c r="AC38" s="169">
        <f ca="1">IF($B38,ROUND(AC37*$N36,2),ROUND(SUMIF(OFFSET($B38,1,0,$D38),TRUE,OFFSET(AC38,1,0,$D38))/SUMIF(OFFSET($B38,1,0,$D38),TRUE,OFFSET($K38,1,0,$D38))*$N36,2))</f>
        <v>0</v>
      </c>
    </row>
    <row r="39" spans="1:29" ht="14.25" customHeight="1">
      <c r="A39" s="82"/>
      <c r="B39" s="82"/>
      <c r="C39" s="82"/>
      <c r="D39" s="82"/>
      <c r="E39" s="82"/>
      <c r="F39" s="82"/>
      <c r="G39" s="82"/>
      <c r="H39" s="82"/>
      <c r="I39" s="82"/>
      <c r="J39" s="82"/>
      <c r="K39" s="82"/>
      <c r="L39" s="374" t="str">
        <f>INDEX(PO!K$12:K$50,MATCH($A41,PO!$V$12:$V$50,0))</f>
        <v>1.7.</v>
      </c>
      <c r="M39" s="376" t="str">
        <f>INDEX(PO!N$12:N$50,MATCH($A41,PO!$V$12:$V$50,0))</f>
        <v>RAMPA EM CALÇADAS</v>
      </c>
      <c r="N39" s="387">
        <f>IF(ROUND(K41,2)=0,K41,ROUND(K41,2))</f>
        <v>1E-12</v>
      </c>
      <c r="O39" s="220" t="s">
        <v>144</v>
      </c>
      <c r="P39" s="225">
        <v>0</v>
      </c>
      <c r="Q39" s="226">
        <v>0.4</v>
      </c>
      <c r="R39" s="226">
        <v>0.6</v>
      </c>
      <c r="S39" s="226">
        <v>0</v>
      </c>
      <c r="T39" s="226">
        <f>IF($B41,0,T40-IF(ISNUMBER(S40),S40,0))</f>
        <v>0</v>
      </c>
      <c r="U39" s="226">
        <v>0.1</v>
      </c>
      <c r="V39" s="226">
        <v>0.2</v>
      </c>
      <c r="W39" s="227">
        <v>0.7</v>
      </c>
      <c r="X39" s="196"/>
      <c r="AC39" s="221">
        <f>IF($B41,0,AC40-IF(ISNUMBER(AB40),AB40,0))</f>
        <v>0</v>
      </c>
    </row>
    <row r="40" spans="1:29" ht="14.25">
      <c r="A40" s="184"/>
      <c r="B40" s="184"/>
      <c r="C40" s="184"/>
      <c r="D40" s="184"/>
      <c r="E40" s="184"/>
      <c r="F40" s="184"/>
      <c r="G40" s="184"/>
      <c r="H40" s="184"/>
      <c r="I40" s="184"/>
      <c r="J40" s="184"/>
      <c r="K40" s="184"/>
      <c r="L40" s="375"/>
      <c r="M40" s="377"/>
      <c r="N40" s="388"/>
      <c r="O40" s="170" t="s">
        <v>146</v>
      </c>
      <c r="P40" s="198">
        <f>MIN(IF($B41,P39+IF(ISNUMBER(O40),O40,0),P41/$N39),1)</f>
        <v>0</v>
      </c>
      <c r="Q40" s="168">
        <f>MIN(IF($B41,Q39+IF(ISNUMBER(P40),P40,0),Q41/$N39),1)</f>
        <v>0.4</v>
      </c>
      <c r="R40" s="168">
        <f>MIN(IF($B41,R39+IF(ISNUMBER(Q40),Q40,0),R41/$N39),1)</f>
        <v>1</v>
      </c>
      <c r="S40" s="168">
        <f>MIN(IF($B41,S39+IF(ISNUMBER(R40),R40,0),S41/$N39),1)</f>
        <v>1</v>
      </c>
      <c r="T40" s="168">
        <f>MIN(IF($B41,T39+IF(ISNUMBER(S40),S40,0),T41/$N39),1)</f>
        <v>1</v>
      </c>
      <c r="U40" s="168">
        <f>MIN(IF($B41,U39+IF(ISNUMBER(T40),T40,0),U41/$N39),1)</f>
        <v>1</v>
      </c>
      <c r="V40" s="168">
        <f>MIN(IF($B41,V39+IF(ISNUMBER(U40),U40,0),V41/$N39),1)</f>
        <v>1</v>
      </c>
      <c r="W40" s="168">
        <f>MIN(IF($B41,W39+IF(ISNUMBER(V40),V40,0),W41/$N39),1)</f>
        <v>1</v>
      </c>
      <c r="X40" s="196"/>
      <c r="AC40" s="168">
        <f>MIN(IF($B41,AC39+IF(ISNUMBER(AB40),AB40,0),AC41/$N39),1)</f>
        <v>0</v>
      </c>
    </row>
    <row r="41" spans="1:29" ht="14.25">
      <c r="A41" s="184">
        <f ca="1">OFFSET(A41,-CFF.NumLinha,0)+1</f>
        <v>8</v>
      </c>
      <c r="B41" s="184" t="b">
        <f ca="1">$C41&gt;=OFFSET($C41,CFF.NumLinha,0)</f>
        <v>1</v>
      </c>
      <c r="C41" s="184">
        <f>INDEX(PO!A$12:A$50,MATCH($A41,PO!$V$12:$V$50,0))</f>
        <v>2</v>
      </c>
      <c r="D41" s="184">
        <f>IF(ISERROR(J41),I41,SMALL(I41:J41,1))-1</f>
        <v>2</v>
      </c>
      <c r="E41" s="184">
        <f ca="1">IF($C41=1,OFFSET(E41,-CFF.NumLinha,0)+1,OFFSET(E41,-CFF.NumLinha,0))</f>
        <v>1</v>
      </c>
      <c r="F41" s="184">
        <f ca="1">IF($C41=1,0,IF($C41=2,OFFSET(F41,-CFF.NumLinha,0)+1,OFFSET(F41,-CFF.NumLinha,0)))</f>
        <v>7</v>
      </c>
      <c r="G41" s="184">
        <f ca="1">IF(AND($C41&lt;=2,$C41&lt;&gt;0),0,IF($C41=3,OFFSET(G41,-CFF.NumLinha,0)+1,OFFSET(G41,-CFF.NumLinha,0)))</f>
        <v>0</v>
      </c>
      <c r="H41" s="184">
        <f ca="1">IF(AND($C41&lt;=3,$C41&lt;&gt;0),0,IF($C41=4,OFFSET(H41,-CFF.NumLinha,0)+1,OFFSET(H41,-CFF.NumLinha,0)))</f>
        <v>0</v>
      </c>
      <c r="I41" s="184">
        <f ca="1">MATCH(0,OFFSET($D41,1,$C41,ROW($A$45)-ROW($A41)),0)</f>
        <v>4</v>
      </c>
      <c r="J41" s="184">
        <f ca="1">MATCH(OFFSET($D41,0,$C41)+1,OFFSET($D41,1,$C41,ROW($A$45)-ROW($A41)),0)</f>
        <v>3</v>
      </c>
      <c r="K41" s="185">
        <f>ROUND(INDEX(PO!T$12:T$50,MATCH($A41,PO!$V$12:$V$50,0)),2)+10^-12</f>
        <v>1E-12</v>
      </c>
      <c r="L41" s="375"/>
      <c r="M41" s="377"/>
      <c r="N41" s="388"/>
      <c r="O41" s="204" t="s">
        <v>20</v>
      </c>
      <c r="P41" s="199">
        <f aca="true" ca="1" t="shared" si="15" ref="P41:W41">IF($B41,ROUND(P40*$N39,2),ROUND(SUMIF(OFFSET($B41,1,0,$D41),TRUE,OFFSET(P41,1,0,$D41))/SUMIF(OFFSET($B41,1,0,$D41),TRUE,OFFSET($K41,1,0,$D41))*$N39,2))</f>
        <v>0</v>
      </c>
      <c r="Q41" s="169">
        <f ca="1" t="shared" si="15"/>
        <v>0</v>
      </c>
      <c r="R41" s="169">
        <f ca="1" t="shared" si="15"/>
        <v>0</v>
      </c>
      <c r="S41" s="169">
        <f ca="1" t="shared" si="15"/>
        <v>0</v>
      </c>
      <c r="T41" s="169">
        <f ca="1" t="shared" si="15"/>
        <v>0</v>
      </c>
      <c r="U41" s="169">
        <f ca="1" t="shared" si="15"/>
        <v>0</v>
      </c>
      <c r="V41" s="169">
        <f ca="1" t="shared" si="15"/>
        <v>0</v>
      </c>
      <c r="W41" s="207">
        <f ca="1" t="shared" si="15"/>
        <v>0</v>
      </c>
      <c r="X41" s="196"/>
      <c r="AC41" s="169">
        <f ca="1">IF($B41,ROUND(AC40*$N39,2),ROUND(SUMIF(OFFSET($B41,1,0,$D41),TRUE,OFFSET(AC41,1,0,$D41))/SUMIF(OFFSET($B41,1,0,$D41),TRUE,OFFSET($K41,1,0,$D41))*$N39,2))</f>
        <v>0</v>
      </c>
    </row>
    <row r="42" spans="1:29" ht="14.25" customHeight="1">
      <c r="A42" s="82"/>
      <c r="B42" s="82"/>
      <c r="C42" s="82"/>
      <c r="D42" s="82"/>
      <c r="E42" s="82"/>
      <c r="F42" s="82"/>
      <c r="G42" s="82"/>
      <c r="H42" s="82"/>
      <c r="I42" s="82"/>
      <c r="J42" s="82"/>
      <c r="K42" s="82"/>
      <c r="L42" s="374" t="str">
        <f>INDEX(PO!K$12:K$50,MATCH($A44,PO!$V$12:$V$50,0))</f>
        <v>1.8.</v>
      </c>
      <c r="M42" s="376" t="str">
        <f>INDEX(PO!N$12:N$50,MATCH($A44,PO!$V$12:$V$50,0))</f>
        <v>OUTROS</v>
      </c>
      <c r="N42" s="387">
        <f>IF(ROUND(K44,2)=0,K44,ROUND(K44,2))</f>
        <v>1E-12</v>
      </c>
      <c r="O42" s="220" t="s">
        <v>144</v>
      </c>
      <c r="P42" s="225">
        <v>0.1</v>
      </c>
      <c r="Q42" s="226">
        <v>0.5</v>
      </c>
      <c r="R42" s="226">
        <v>0.4</v>
      </c>
      <c r="S42" s="226">
        <v>0</v>
      </c>
      <c r="T42" s="226">
        <f>IF($B44,0,T43-IF(ISNUMBER(S43),S43,0))</f>
        <v>0</v>
      </c>
      <c r="U42" s="226">
        <v>0.5</v>
      </c>
      <c r="V42" s="226">
        <v>0.5</v>
      </c>
      <c r="W42" s="227">
        <f>IF($B44,0,W43-IF(ISNUMBER(V43),V43,0))</f>
        <v>0</v>
      </c>
      <c r="X42" s="196"/>
      <c r="AC42" s="221">
        <f>IF($B44,0,AC43-IF(ISNUMBER(AB43),AB43,0))</f>
        <v>0</v>
      </c>
    </row>
    <row r="43" spans="1:29" ht="14.25">
      <c r="A43" s="184"/>
      <c r="B43" s="184"/>
      <c r="C43" s="184"/>
      <c r="D43" s="184"/>
      <c r="E43" s="184"/>
      <c r="F43" s="184"/>
      <c r="G43" s="184"/>
      <c r="H43" s="184"/>
      <c r="I43" s="184"/>
      <c r="J43" s="184"/>
      <c r="K43" s="184"/>
      <c r="L43" s="375"/>
      <c r="M43" s="377"/>
      <c r="N43" s="388"/>
      <c r="O43" s="170" t="s">
        <v>146</v>
      </c>
      <c r="P43" s="198">
        <f>MIN(IF($B44,P42+IF(ISNUMBER(O43),O43,0),P44/$N42),1)</f>
        <v>0.1</v>
      </c>
      <c r="Q43" s="168">
        <f>MIN(IF($B44,Q42+IF(ISNUMBER(P43),P43,0),Q44/$N42),1)</f>
        <v>0.6</v>
      </c>
      <c r="R43" s="168">
        <f>MIN(IF($B44,R42+IF(ISNUMBER(Q43),Q43,0),R44/$N42),1)</f>
        <v>1</v>
      </c>
      <c r="S43" s="168">
        <f>MIN(IF($B44,S42+IF(ISNUMBER(R43),R43,0),S44/$N42),1)</f>
        <v>1</v>
      </c>
      <c r="T43" s="168">
        <f>MIN(IF($B44,T42+IF(ISNUMBER(S43),S43,0),T44/$N42),1)</f>
        <v>1</v>
      </c>
      <c r="U43" s="168">
        <f>MIN(IF($B44,U42+IF(ISNUMBER(T43),T43,0),U44/$N42),1)</f>
        <v>1</v>
      </c>
      <c r="V43" s="168">
        <f>MIN(IF($B44,V42+IF(ISNUMBER(U43),U43,0),V44/$N42),1)</f>
        <v>1</v>
      </c>
      <c r="W43" s="168">
        <f>MIN(IF($B44,W42+IF(ISNUMBER(V43),V43,0),W44/$N42),1)</f>
        <v>1</v>
      </c>
      <c r="X43" s="196"/>
      <c r="AC43" s="168">
        <f>MIN(IF($B44,AC42+IF(ISNUMBER(AB43),AB43,0),AC44/$N42),1)</f>
        <v>0</v>
      </c>
    </row>
    <row r="44" spans="1:29" ht="14.25">
      <c r="A44" s="184">
        <f ca="1">OFFSET(A44,-CFF.NumLinha,0)+1</f>
        <v>9</v>
      </c>
      <c r="B44" s="184" t="b">
        <f ca="1">$C44&gt;=OFFSET($C44,CFF.NumLinha,0)</f>
        <v>1</v>
      </c>
      <c r="C44" s="184">
        <f>INDEX(PO!A$12:A$50,MATCH($A44,PO!$V$12:$V$50,0))</f>
        <v>2</v>
      </c>
      <c r="D44" s="184">
        <f>IF(ISERROR(J44),I44,SMALL(I44:J44,1))-1</f>
        <v>0</v>
      </c>
      <c r="E44" s="184">
        <f ca="1">IF($C44=1,OFFSET(E44,-CFF.NumLinha,0)+1,OFFSET(E44,-CFF.NumLinha,0))</f>
        <v>1</v>
      </c>
      <c r="F44" s="184">
        <f ca="1">IF($C44=1,0,IF($C44=2,OFFSET(F44,-CFF.NumLinha,0)+1,OFFSET(F44,-CFF.NumLinha,0)))</f>
        <v>8</v>
      </c>
      <c r="G44" s="184">
        <f ca="1">IF(AND($C44&lt;=2,$C44&lt;&gt;0),0,IF($C44=3,OFFSET(G44,-CFF.NumLinha,0)+1,OFFSET(G44,-CFF.NumLinha,0)))</f>
        <v>0</v>
      </c>
      <c r="H44" s="184">
        <f ca="1">IF(AND($C44&lt;=3,$C44&lt;&gt;0),0,IF($C44=4,OFFSET(H44,-CFF.NumLinha,0)+1,OFFSET(H44,-CFF.NumLinha,0)))</f>
        <v>0</v>
      </c>
      <c r="I44" s="184">
        <f ca="1">MATCH(0,OFFSET($D44,1,$C44,ROW($A$45)-ROW($A44)),0)</f>
        <v>1</v>
      </c>
      <c r="J44" s="184" t="e">
        <f ca="1">MATCH(OFFSET($D44,0,$C44)+1,OFFSET($D44,1,$C44,ROW($A$45)-ROW($A44)),0)</f>
        <v>#N/A</v>
      </c>
      <c r="K44" s="185">
        <f>ROUND(INDEX(PO!T$12:T$50,MATCH($A44,PO!$V$12:$V$50,0)),2)+10^-12</f>
        <v>1E-12</v>
      </c>
      <c r="L44" s="375"/>
      <c r="M44" s="377"/>
      <c r="N44" s="388"/>
      <c r="O44" s="204" t="s">
        <v>20</v>
      </c>
      <c r="P44" s="199">
        <f aca="true" ca="1" t="shared" si="16" ref="P44:W44">IF($B44,ROUND(P43*$N42,2),ROUND(SUMIF(OFFSET($B44,1,0,$D44),TRUE,OFFSET(P44,1,0,$D44))/SUMIF(OFFSET($B44,1,0,$D44),TRUE,OFFSET($K44,1,0,$D44))*$N42,2))</f>
        <v>0</v>
      </c>
      <c r="Q44" s="169">
        <f ca="1" t="shared" si="16"/>
        <v>0</v>
      </c>
      <c r="R44" s="169">
        <f ca="1" t="shared" si="16"/>
        <v>0</v>
      </c>
      <c r="S44" s="169">
        <f ca="1" t="shared" si="16"/>
        <v>0</v>
      </c>
      <c r="T44" s="169">
        <f ca="1" t="shared" si="16"/>
        <v>0</v>
      </c>
      <c r="U44" s="169">
        <f ca="1" t="shared" si="16"/>
        <v>0</v>
      </c>
      <c r="V44" s="169">
        <f ca="1" t="shared" si="16"/>
        <v>0</v>
      </c>
      <c r="W44" s="207">
        <f ca="1" t="shared" si="16"/>
        <v>0</v>
      </c>
      <c r="X44" s="196"/>
      <c r="AC44" s="169">
        <f ca="1">IF($B44,ROUND(AC43*$N42,2),ROUND(SUMIF(OFFSET($B44,1,0,$D44),TRUE,OFFSET(AC44,1,0,$D44))/SUMIF(OFFSET($B44,1,0,$D44),TRUE,OFFSET($K44,1,0,$D44))*$N42,2))</f>
        <v>0</v>
      </c>
    </row>
    <row r="45" spans="1:29" s="45" customFormat="1" ht="12.75" customHeight="1">
      <c r="A45" s="1"/>
      <c r="B45" s="1"/>
      <c r="C45" s="184">
        <v>-1</v>
      </c>
      <c r="D45" s="184"/>
      <c r="E45" s="184">
        <v>0</v>
      </c>
      <c r="F45" s="184">
        <v>0</v>
      </c>
      <c r="G45" s="184">
        <v>0</v>
      </c>
      <c r="H45" s="184">
        <v>0</v>
      </c>
      <c r="I45" s="1"/>
      <c r="J45" s="1"/>
      <c r="K45" s="1"/>
      <c r="L45" s="154"/>
      <c r="M45" s="154"/>
      <c r="N45" s="155"/>
      <c r="O45" s="154"/>
      <c r="P45" s="154"/>
      <c r="Q45" s="155"/>
      <c r="R45" s="154"/>
      <c r="S45" s="154"/>
      <c r="T45" s="154"/>
      <c r="U45" s="154"/>
      <c r="V45" s="154"/>
      <c r="W45" s="154"/>
      <c r="X45" s="186"/>
      <c r="AC45" s="154"/>
    </row>
    <row r="46" spans="1:29" ht="12" customHeight="1">
      <c r="A46" s="1"/>
      <c r="B46" s="1"/>
      <c r="C46" s="1"/>
      <c r="D46" s="1"/>
      <c r="E46" s="1"/>
      <c r="F46" s="1"/>
      <c r="G46" s="1"/>
      <c r="H46" s="1"/>
      <c r="I46" s="1"/>
      <c r="J46" s="1"/>
      <c r="K46" s="1"/>
      <c r="L46" s="187"/>
      <c r="M46" s="187"/>
      <c r="N46" s="187"/>
      <c r="O46" s="187"/>
      <c r="P46" s="187"/>
      <c r="Q46" s="187"/>
      <c r="R46" s="187"/>
      <c r="S46" s="187"/>
      <c r="T46" s="187"/>
      <c r="U46" s="187"/>
      <c r="V46" s="187"/>
      <c r="W46" s="187"/>
      <c r="X46" s="188"/>
      <c r="AC46" s="187"/>
    </row>
    <row r="47" spans="1:29" ht="12.75">
      <c r="A47" s="1"/>
      <c r="B47" s="1"/>
      <c r="C47" s="1"/>
      <c r="D47" s="1"/>
      <c r="E47" s="1"/>
      <c r="F47" s="1"/>
      <c r="G47" s="1"/>
      <c r="H47" s="1"/>
      <c r="I47" s="1"/>
      <c r="J47" s="1"/>
      <c r="K47" s="1"/>
      <c r="L47" s="393">
        <f>DADOS!I32</f>
        <v>0</v>
      </c>
      <c r="M47" s="393"/>
      <c r="N47" s="393"/>
      <c r="O47" s="187"/>
      <c r="P47" s="189"/>
      <c r="Q47" s="390"/>
      <c r="R47" s="390"/>
      <c r="S47" s="390"/>
      <c r="T47" s="187"/>
      <c r="U47" s="187"/>
      <c r="V47" s="187"/>
      <c r="W47" s="187"/>
      <c r="X47" s="188"/>
      <c r="AC47" s="187"/>
    </row>
    <row r="48" spans="1:29" ht="12.75">
      <c r="A48" s="1"/>
      <c r="B48" s="1"/>
      <c r="C48" s="1"/>
      <c r="D48" s="1"/>
      <c r="E48" s="1"/>
      <c r="F48" s="1"/>
      <c r="G48" s="1"/>
      <c r="H48" s="1"/>
      <c r="I48" s="1"/>
      <c r="J48" s="1"/>
      <c r="K48" s="1"/>
      <c r="L48" s="190" t="s">
        <v>121</v>
      </c>
      <c r="M48" s="392"/>
      <c r="N48" s="392"/>
      <c r="O48" s="187"/>
      <c r="P48" s="189"/>
      <c r="Q48" s="390"/>
      <c r="R48" s="390"/>
      <c r="S48" s="390"/>
      <c r="T48" s="187"/>
      <c r="U48" s="187"/>
      <c r="V48" s="187"/>
      <c r="W48" s="187"/>
      <c r="X48" s="188"/>
      <c r="AC48" s="187"/>
    </row>
    <row r="49" spans="1:29" ht="12.75">
      <c r="A49" s="1"/>
      <c r="B49" s="1"/>
      <c r="C49" s="1"/>
      <c r="D49" s="1"/>
      <c r="E49" s="1"/>
      <c r="F49" s="1"/>
      <c r="G49" s="1"/>
      <c r="H49" s="1"/>
      <c r="I49" s="1"/>
      <c r="J49" s="1"/>
      <c r="K49" s="1"/>
      <c r="L49" s="189"/>
      <c r="M49" s="391"/>
      <c r="N49" s="392"/>
      <c r="O49" s="187"/>
      <c r="P49" s="189"/>
      <c r="Q49" s="390"/>
      <c r="R49" s="390"/>
      <c r="S49" s="390"/>
      <c r="T49" s="187"/>
      <c r="U49" s="187"/>
      <c r="V49" s="187"/>
      <c r="W49" s="187"/>
      <c r="X49" s="188"/>
      <c r="AC49" s="187"/>
    </row>
    <row r="50" spans="1:29" ht="12.75">
      <c r="A50" s="1"/>
      <c r="B50" s="1"/>
      <c r="C50" s="1"/>
      <c r="D50" s="1"/>
      <c r="E50" s="1"/>
      <c r="F50" s="1"/>
      <c r="G50" s="1"/>
      <c r="H50" s="1"/>
      <c r="I50" s="1"/>
      <c r="J50" s="1"/>
      <c r="K50" s="1"/>
      <c r="L50" s="373">
        <f>PO!K64</f>
        <v>43979</v>
      </c>
      <c r="M50" s="373"/>
      <c r="N50" s="373"/>
      <c r="O50" s="187"/>
      <c r="P50" s="187"/>
      <c r="Q50" s="187"/>
      <c r="R50" s="187"/>
      <c r="S50" s="187"/>
      <c r="T50" s="187"/>
      <c r="U50" s="187"/>
      <c r="V50" s="187"/>
      <c r="W50" s="187"/>
      <c r="X50" s="191"/>
      <c r="AC50" s="187"/>
    </row>
    <row r="51" spans="1:29" ht="12.75">
      <c r="A51" s="1"/>
      <c r="B51" s="1"/>
      <c r="C51" s="1"/>
      <c r="D51" s="1"/>
      <c r="E51" s="1"/>
      <c r="F51" s="1"/>
      <c r="G51" s="1"/>
      <c r="H51" s="1"/>
      <c r="I51" s="1"/>
      <c r="J51" s="1"/>
      <c r="K51" s="1"/>
      <c r="L51" s="192" t="s">
        <v>122</v>
      </c>
      <c r="M51" s="193"/>
      <c r="N51" s="193"/>
      <c r="O51" s="187"/>
      <c r="P51" s="187"/>
      <c r="Q51" s="187"/>
      <c r="R51" s="187"/>
      <c r="S51" s="187"/>
      <c r="T51" s="187"/>
      <c r="U51" s="187"/>
      <c r="V51" s="187"/>
      <c r="W51" s="187"/>
      <c r="X51" s="191"/>
      <c r="AC51" s="187"/>
    </row>
    <row r="52" spans="1:29" ht="12.75">
      <c r="A52" s="1"/>
      <c r="B52" s="1"/>
      <c r="C52" s="1"/>
      <c r="D52" s="1"/>
      <c r="E52" s="1"/>
      <c r="F52" s="1"/>
      <c r="G52" s="1"/>
      <c r="H52" s="1"/>
      <c r="I52" s="1"/>
      <c r="J52" s="1"/>
      <c r="K52" s="1"/>
      <c r="L52" s="187"/>
      <c r="M52" s="187"/>
      <c r="N52" s="187"/>
      <c r="O52" s="187"/>
      <c r="P52" s="187"/>
      <c r="Q52" s="187"/>
      <c r="R52" s="187"/>
      <c r="S52" s="187"/>
      <c r="T52" s="187"/>
      <c r="U52" s="187"/>
      <c r="V52" s="187"/>
      <c r="W52" s="187"/>
      <c r="X52" s="191"/>
      <c r="AC52" s="187"/>
    </row>
    <row r="53" spans="1:29" ht="12.75">
      <c r="A53" s="1"/>
      <c r="B53" s="1"/>
      <c r="C53" s="1"/>
      <c r="D53" s="1"/>
      <c r="E53" s="1"/>
      <c r="F53" s="1"/>
      <c r="G53" s="1"/>
      <c r="H53" s="1"/>
      <c r="I53" s="1"/>
      <c r="J53" s="1"/>
      <c r="K53" s="1"/>
      <c r="L53" s="187"/>
      <c r="M53" s="187"/>
      <c r="N53" s="194"/>
      <c r="O53" s="187"/>
      <c r="P53" s="187"/>
      <c r="Q53" s="187"/>
      <c r="R53" s="187"/>
      <c r="S53" s="187"/>
      <c r="T53" s="187"/>
      <c r="U53" s="187"/>
      <c r="V53" s="187"/>
      <c r="W53" s="187"/>
      <c r="X53" s="188"/>
      <c r="AC53" s="187"/>
    </row>
    <row r="54" spans="1:29" ht="12.75">
      <c r="A54" s="1"/>
      <c r="B54" s="1"/>
      <c r="C54" s="1"/>
      <c r="D54" s="1"/>
      <c r="E54" s="1"/>
      <c r="F54" s="1"/>
      <c r="G54" s="1"/>
      <c r="H54" s="1"/>
      <c r="I54" s="1"/>
      <c r="J54" s="1"/>
      <c r="K54" s="1"/>
      <c r="L54" s="187"/>
      <c r="M54" s="187"/>
      <c r="N54" s="194"/>
      <c r="O54" s="187"/>
      <c r="P54" s="187"/>
      <c r="Q54" s="187"/>
      <c r="R54" s="187"/>
      <c r="S54" s="187"/>
      <c r="T54" s="187"/>
      <c r="U54" s="187"/>
      <c r="V54" s="187"/>
      <c r="W54" s="187"/>
      <c r="X54" s="188"/>
      <c r="AC54" s="187"/>
    </row>
    <row r="55" spans="1:29" ht="12.75">
      <c r="A55" s="1"/>
      <c r="B55" s="1"/>
      <c r="C55" s="1"/>
      <c r="D55" s="1"/>
      <c r="E55" s="1"/>
      <c r="F55" s="1"/>
      <c r="G55" s="1"/>
      <c r="H55" s="1"/>
      <c r="I55" s="1"/>
      <c r="J55" s="1"/>
      <c r="K55" s="1"/>
      <c r="L55" s="82"/>
      <c r="M55" s="82"/>
      <c r="N55" s="7"/>
      <c r="O55" s="82"/>
      <c r="P55" s="82"/>
      <c r="Q55" s="82"/>
      <c r="R55" s="82"/>
      <c r="S55" s="82"/>
      <c r="T55" s="82"/>
      <c r="U55" s="82"/>
      <c r="V55" s="82"/>
      <c r="W55" s="187"/>
      <c r="X55" s="188"/>
      <c r="AC55" s="82"/>
    </row>
  </sheetData>
  <sheetProtection password="C95B" sheet="1" objects="1" scenarios="1"/>
  <mergeCells count="40">
    <mergeCell ref="M42:M44"/>
    <mergeCell ref="N42:N44"/>
    <mergeCell ref="L33:L35"/>
    <mergeCell ref="M33:M35"/>
    <mergeCell ref="N33:N35"/>
    <mergeCell ref="L36:L38"/>
    <mergeCell ref="M36:M38"/>
    <mergeCell ref="N36:N38"/>
    <mergeCell ref="L39:L41"/>
    <mergeCell ref="M39:M41"/>
    <mergeCell ref="N39:N41"/>
    <mergeCell ref="L42:L44"/>
    <mergeCell ref="Q49:S49"/>
    <mergeCell ref="M49:N49"/>
    <mergeCell ref="Q48:S48"/>
    <mergeCell ref="Q47:S47"/>
    <mergeCell ref="L47:N47"/>
    <mergeCell ref="M48:N48"/>
    <mergeCell ref="L8:M8"/>
    <mergeCell ref="N11:N13"/>
    <mergeCell ref="M18:M20"/>
    <mergeCell ref="N18:N20"/>
    <mergeCell ref="M30:M32"/>
    <mergeCell ref="N30:N32"/>
    <mergeCell ref="L50:N50"/>
    <mergeCell ref="L11:L13"/>
    <mergeCell ref="M11:M13"/>
    <mergeCell ref="L14:M17"/>
    <mergeCell ref="N14:N17"/>
    <mergeCell ref="L18:L20"/>
    <mergeCell ref="L21:L23"/>
    <mergeCell ref="M21:M23"/>
    <mergeCell ref="N21:N23"/>
    <mergeCell ref="L24:L26"/>
    <mergeCell ref="M24:M26"/>
    <mergeCell ref="N24:N26"/>
    <mergeCell ref="L27:L29"/>
    <mergeCell ref="M27:M29"/>
    <mergeCell ref="N27:N29"/>
    <mergeCell ref="L30:L32"/>
  </mergeCells>
  <conditionalFormatting sqref="L11:N11 L12:M13 L18:N18">
    <cfRule type="expression" priority="1137" dxfId="429" stopIfTrue="1">
      <formula>$C13=1</formula>
    </cfRule>
  </conditionalFormatting>
  <conditionalFormatting sqref="O11 O18">
    <cfRule type="expression" priority="1209" dxfId="2" stopIfTrue="1">
      <formula>$B13=FALSE</formula>
    </cfRule>
    <cfRule type="expression" priority="1210" dxfId="433" stopIfTrue="1">
      <formula>$C13=1</formula>
    </cfRule>
  </conditionalFormatting>
  <conditionalFormatting sqref="P12:W12">
    <cfRule type="expression" priority="1199" dxfId="7" stopIfTrue="1">
      <formula>AND(ISNUMBER(O13),O13&gt;=$N11)</formula>
    </cfRule>
    <cfRule type="cellIs" priority="1200" dxfId="4" operator="notBetween" stopIfTrue="1">
      <formula>0</formula>
      <formula>1</formula>
    </cfRule>
  </conditionalFormatting>
  <conditionalFormatting sqref="P13:W13">
    <cfRule type="expression" priority="1201" dxfId="5" stopIfTrue="1">
      <formula>AND(ISNUMBER(O13),O13&gt;=$N11)</formula>
    </cfRule>
    <cfRule type="cellIs" priority="1202" dxfId="4" operator="notBetween" stopIfTrue="1">
      <formula>0</formula>
      <formula>$N11</formula>
    </cfRule>
  </conditionalFormatting>
  <conditionalFormatting sqref="P14:W14">
    <cfRule type="expression" priority="1203" dxfId="5" stopIfTrue="1">
      <formula>AND(ISNUMBER(O17),O17&gt;=$N14)</formula>
    </cfRule>
  </conditionalFormatting>
  <conditionalFormatting sqref="P15:W15">
    <cfRule type="expression" priority="1204" dxfId="5" stopIfTrue="1">
      <formula>AND(ISNUMBER(O17),O17&gt;=$N14)</formula>
    </cfRule>
  </conditionalFormatting>
  <conditionalFormatting sqref="P16:W16">
    <cfRule type="expression" priority="1205" dxfId="5" stopIfTrue="1">
      <formula>AND(ISNUMBER(O17),O17&gt;=$N14)</formula>
    </cfRule>
    <cfRule type="cellIs" priority="1206" dxfId="4" operator="notBetween" stopIfTrue="1">
      <formula>0</formula>
      <formula>1</formula>
    </cfRule>
  </conditionalFormatting>
  <conditionalFormatting sqref="P17:W17">
    <cfRule type="expression" priority="1207" dxfId="5" stopIfTrue="1">
      <formula>AND(ISNUMBER(O17),O17&gt;=$N14)</formula>
    </cfRule>
    <cfRule type="cellIs" priority="1208" dxfId="4" operator="notBetween" stopIfTrue="1">
      <formula>0</formula>
      <formula>$N14</formula>
    </cfRule>
  </conditionalFormatting>
  <conditionalFormatting sqref="L8">
    <cfRule type="cellIs" priority="1194" dxfId="4" operator="notEqual" stopIfTrue="1">
      <formula>""</formula>
    </cfRule>
  </conditionalFormatting>
  <conditionalFormatting sqref="N9">
    <cfRule type="expression" priority="1193" dxfId="87" stopIfTrue="1">
      <formula>TipoOrçamento&lt;&gt;"REPROGRAMADOAC"</formula>
    </cfRule>
  </conditionalFormatting>
  <conditionalFormatting sqref="L19:M20">
    <cfRule type="expression" priority="2028" dxfId="429" stopIfTrue="1">
      <formula>CFF!#REF!=1</formula>
    </cfRule>
  </conditionalFormatting>
  <conditionalFormatting sqref="P11:W11">
    <cfRule type="expression" priority="348" dxfId="3" stopIfTrue="1">
      <formula>AND(ISNUMBER(O13),O13&gt;=$N11)</formula>
    </cfRule>
    <cfRule type="expression" priority="349" dxfId="2" stopIfTrue="1">
      <formula>$B13=FALSE</formula>
    </cfRule>
    <cfRule type="expression" priority="350" dxfId="433" stopIfTrue="1">
      <formula>$C13=1</formula>
    </cfRule>
  </conditionalFormatting>
  <conditionalFormatting sqref="P19:W19">
    <cfRule type="expression" priority="299" dxfId="7" stopIfTrue="1">
      <formula>AND(ISNUMBER(O20),O20&gt;=$N18)</formula>
    </cfRule>
    <cfRule type="cellIs" priority="300" dxfId="4" operator="notBetween" stopIfTrue="1">
      <formula>0</formula>
      <formula>1</formula>
    </cfRule>
  </conditionalFormatting>
  <conditionalFormatting sqref="P20:W20">
    <cfRule type="expression" priority="301" dxfId="5" stopIfTrue="1">
      <formula>AND(ISNUMBER(O20),O20&gt;=$N18)</formula>
    </cfRule>
    <cfRule type="cellIs" priority="302" dxfId="4" operator="notBetween" stopIfTrue="1">
      <formula>0</formula>
      <formula>$N18</formula>
    </cfRule>
  </conditionalFormatting>
  <conditionalFormatting sqref="O10:W10">
    <cfRule type="expression" priority="271" dxfId="434" stopIfTrue="1">
      <formula>1=1</formula>
    </cfRule>
  </conditionalFormatting>
  <conditionalFormatting sqref="P18:W18">
    <cfRule type="expression" priority="226" dxfId="3" stopIfTrue="1">
      <formula>AND(ISNUMBER(O20),O20&gt;=$N18)</formula>
    </cfRule>
    <cfRule type="expression" priority="227" dxfId="2" stopIfTrue="1">
      <formula>$B20=FALSE</formula>
    </cfRule>
    <cfRule type="expression" priority="228" dxfId="433" stopIfTrue="1">
      <formula>$C20=1</formula>
    </cfRule>
  </conditionalFormatting>
  <conditionalFormatting sqref="AC18">
    <cfRule type="expression" priority="146" dxfId="3" stopIfTrue="1">
      <formula>AND(ISNUMBER(AB20),AB20&gt;=$N18)</formula>
    </cfRule>
    <cfRule type="expression" priority="147" dxfId="2" stopIfTrue="1">
      <formula>$B20=FALSE</formula>
    </cfRule>
    <cfRule type="expression" priority="148" dxfId="433" stopIfTrue="1">
      <formula>$C20=1</formula>
    </cfRule>
  </conditionalFormatting>
  <conditionalFormatting sqref="AC12">
    <cfRule type="expression" priority="161" dxfId="7" stopIfTrue="1">
      <formula>AND(ISNUMBER(AB13),AB13&gt;=$N11)</formula>
    </cfRule>
    <cfRule type="cellIs" priority="162" dxfId="4" operator="notBetween" stopIfTrue="1">
      <formula>0</formula>
      <formula>1</formula>
    </cfRule>
  </conditionalFormatting>
  <conditionalFormatting sqref="AC13">
    <cfRule type="expression" priority="163" dxfId="5" stopIfTrue="1">
      <formula>AND(ISNUMBER(AB13),AB13&gt;=$N11)</formula>
    </cfRule>
    <cfRule type="cellIs" priority="164" dxfId="4" operator="notBetween" stopIfTrue="1">
      <formula>0</formula>
      <formula>$N11</formula>
    </cfRule>
  </conditionalFormatting>
  <conditionalFormatting sqref="AC14">
    <cfRule type="expression" priority="165" dxfId="5" stopIfTrue="1">
      <formula>AND(ISNUMBER(AB17),AB17&gt;=$N14)</formula>
    </cfRule>
  </conditionalFormatting>
  <conditionalFormatting sqref="AC15">
    <cfRule type="expression" priority="166" dxfId="5" stopIfTrue="1">
      <formula>AND(ISNUMBER(AB17),AB17&gt;=$N14)</formula>
    </cfRule>
  </conditionalFormatting>
  <conditionalFormatting sqref="AC16">
    <cfRule type="expression" priority="167" dxfId="5" stopIfTrue="1">
      <formula>AND(ISNUMBER(AB17),AB17&gt;=$N14)</formula>
    </cfRule>
    <cfRule type="cellIs" priority="168" dxfId="4" operator="notBetween" stopIfTrue="1">
      <formula>0</formula>
      <formula>1</formula>
    </cfRule>
  </conditionalFormatting>
  <conditionalFormatting sqref="AC17">
    <cfRule type="expression" priority="169" dxfId="5" stopIfTrue="1">
      <formula>AND(ISNUMBER(AB17),AB17&gt;=$N14)</formula>
    </cfRule>
    <cfRule type="cellIs" priority="170" dxfId="4" operator="notBetween" stopIfTrue="1">
      <formula>0</formula>
      <formula>$N14</formula>
    </cfRule>
  </conditionalFormatting>
  <conditionalFormatting sqref="AC11">
    <cfRule type="expression" priority="158" dxfId="3" stopIfTrue="1">
      <formula>AND(ISNUMBER(AB13),AB13&gt;=$N11)</formula>
    </cfRule>
    <cfRule type="expression" priority="159" dxfId="2" stopIfTrue="1">
      <formula>$B13=FALSE</formula>
    </cfRule>
    <cfRule type="expression" priority="160" dxfId="433" stopIfTrue="1">
      <formula>$C13=1</formula>
    </cfRule>
  </conditionalFormatting>
  <conditionalFormatting sqref="AC19">
    <cfRule type="expression" priority="154" dxfId="7" stopIfTrue="1">
      <formula>AND(ISNUMBER(AB20),AB20&gt;=$N18)</formula>
    </cfRule>
    <cfRule type="cellIs" priority="155" dxfId="4" operator="notBetween" stopIfTrue="1">
      <formula>0</formula>
      <formula>1</formula>
    </cfRule>
  </conditionalFormatting>
  <conditionalFormatting sqref="AC20">
    <cfRule type="expression" priority="156" dxfId="5" stopIfTrue="1">
      <formula>AND(ISNUMBER(AB20),AB20&gt;=$N18)</formula>
    </cfRule>
    <cfRule type="cellIs" priority="157" dxfId="4" operator="notBetween" stopIfTrue="1">
      <formula>0</formula>
      <formula>$N18</formula>
    </cfRule>
  </conditionalFormatting>
  <conditionalFormatting sqref="AC10">
    <cfRule type="expression" priority="149" dxfId="434" stopIfTrue="1">
      <formula>1=1</formula>
    </cfRule>
  </conditionalFormatting>
  <conditionalFormatting sqref="L21:N21 L24:N24 L27:N27 L30:N30 L33:N33 L22:M23 L25:M26 L28:M29 L31:M32">
    <cfRule type="expression" priority="113" dxfId="429" stopIfTrue="1">
      <formula>$C23=1</formula>
    </cfRule>
  </conditionalFormatting>
  <conditionalFormatting sqref="O21 O24 O27 O30 O33">
    <cfRule type="expression" priority="118" dxfId="2" stopIfTrue="1">
      <formula>$B23=FALSE</formula>
    </cfRule>
    <cfRule type="expression" priority="119" dxfId="433" stopIfTrue="1">
      <formula>$C23=1</formula>
    </cfRule>
  </conditionalFormatting>
  <conditionalFormatting sqref="P22:W22 P25:W25 P28:W28 P31:W31 P34:W34">
    <cfRule type="expression" priority="114" dxfId="7" stopIfTrue="1">
      <formula>AND(ISNUMBER(O23),O23&gt;=$N21)</formula>
    </cfRule>
    <cfRule type="cellIs" priority="115" dxfId="4" operator="notBetween" stopIfTrue="1">
      <formula>0</formula>
      <formula>1</formula>
    </cfRule>
  </conditionalFormatting>
  <conditionalFormatting sqref="P23:W23 P26:W26 P29:W29 P32:W32 P35:W35">
    <cfRule type="expression" priority="116" dxfId="5" stopIfTrue="1">
      <formula>AND(ISNUMBER(O23),O23&gt;=$N21)</formula>
    </cfRule>
    <cfRule type="cellIs" priority="117" dxfId="4" operator="notBetween" stopIfTrue="1">
      <formula>0</formula>
      <formula>$N21</formula>
    </cfRule>
  </conditionalFormatting>
  <conditionalFormatting sqref="P21:W21 P24:W24 P27:W27 P30:W30 P33:W33">
    <cfRule type="expression" priority="110" dxfId="3" stopIfTrue="1">
      <formula>AND(ISNUMBER(O23),O23&gt;=$N21)</formula>
    </cfRule>
    <cfRule type="expression" priority="111" dxfId="2" stopIfTrue="1">
      <formula>$B23=FALSE</formula>
    </cfRule>
    <cfRule type="expression" priority="112" dxfId="433" stopIfTrue="1">
      <formula>$C23=1</formula>
    </cfRule>
  </conditionalFormatting>
  <conditionalFormatting sqref="AC22 AC25 AC28 AC31 AC34">
    <cfRule type="expression" priority="106" dxfId="7" stopIfTrue="1">
      <formula>AND(ISNUMBER(AB23),AB23&gt;=$N21)</formula>
    </cfRule>
    <cfRule type="cellIs" priority="107" dxfId="4" operator="notBetween" stopIfTrue="1">
      <formula>0</formula>
      <formula>1</formula>
    </cfRule>
  </conditionalFormatting>
  <conditionalFormatting sqref="AC23 AC26 AC29 AC32 AC35">
    <cfRule type="expression" priority="108" dxfId="5" stopIfTrue="1">
      <formula>AND(ISNUMBER(AB23),AB23&gt;=$N21)</formula>
    </cfRule>
    <cfRule type="cellIs" priority="109" dxfId="4" operator="notBetween" stopIfTrue="1">
      <formula>0</formula>
      <formula>$N21</formula>
    </cfRule>
  </conditionalFormatting>
  <conditionalFormatting sqref="AC21 AC24 AC27 AC30 AC33">
    <cfRule type="expression" priority="103" dxfId="3" stopIfTrue="1">
      <formula>AND(ISNUMBER(AB23),AB23&gt;=$N21)</formula>
    </cfRule>
    <cfRule type="expression" priority="104" dxfId="2" stopIfTrue="1">
      <formula>$B23=FALSE</formula>
    </cfRule>
    <cfRule type="expression" priority="105" dxfId="433" stopIfTrue="1">
      <formula>$C23=1</formula>
    </cfRule>
  </conditionalFormatting>
  <conditionalFormatting sqref="L34:M35">
    <cfRule type="expression" priority="5941" dxfId="429" stopIfTrue="1">
      <formula>CFF!#REF!=1</formula>
    </cfRule>
  </conditionalFormatting>
  <conditionalFormatting sqref="L36:N36">
    <cfRule type="expression" priority="45" dxfId="429" stopIfTrue="1">
      <formula>$C38=1</formula>
    </cfRule>
  </conditionalFormatting>
  <conditionalFormatting sqref="O36">
    <cfRule type="expression" priority="50" dxfId="2" stopIfTrue="1">
      <formula>$B38=FALSE</formula>
    </cfRule>
    <cfRule type="expression" priority="51" dxfId="433" stopIfTrue="1">
      <formula>$C38=1</formula>
    </cfRule>
  </conditionalFormatting>
  <conditionalFormatting sqref="P37:W37">
    <cfRule type="expression" priority="46" dxfId="7" stopIfTrue="1">
      <formula>AND(ISNUMBER(O38),O38&gt;=$N36)</formula>
    </cfRule>
    <cfRule type="cellIs" priority="47" dxfId="4" operator="notBetween" stopIfTrue="1">
      <formula>0</formula>
      <formula>1</formula>
    </cfRule>
  </conditionalFormatting>
  <conditionalFormatting sqref="P38:W38">
    <cfRule type="expression" priority="48" dxfId="5" stopIfTrue="1">
      <formula>AND(ISNUMBER(O38),O38&gt;=$N36)</formula>
    </cfRule>
    <cfRule type="cellIs" priority="49" dxfId="4" operator="notBetween" stopIfTrue="1">
      <formula>0</formula>
      <formula>$N36</formula>
    </cfRule>
  </conditionalFormatting>
  <conditionalFormatting sqref="P36:W36">
    <cfRule type="expression" priority="42" dxfId="3" stopIfTrue="1">
      <formula>AND(ISNUMBER(O38),O38&gt;=$N36)</formula>
    </cfRule>
    <cfRule type="expression" priority="43" dxfId="2" stopIfTrue="1">
      <formula>$B38=FALSE</formula>
    </cfRule>
    <cfRule type="expression" priority="44" dxfId="433" stopIfTrue="1">
      <formula>$C38=1</formula>
    </cfRule>
  </conditionalFormatting>
  <conditionalFormatting sqref="AC37">
    <cfRule type="expression" priority="38" dxfId="7" stopIfTrue="1">
      <formula>AND(ISNUMBER(AB38),AB38&gt;=$N36)</formula>
    </cfRule>
    <cfRule type="cellIs" priority="39" dxfId="4" operator="notBetween" stopIfTrue="1">
      <formula>0</formula>
      <formula>1</formula>
    </cfRule>
  </conditionalFormatting>
  <conditionalFormatting sqref="AC38">
    <cfRule type="expression" priority="40" dxfId="5" stopIfTrue="1">
      <formula>AND(ISNUMBER(AB38),AB38&gt;=$N36)</formula>
    </cfRule>
    <cfRule type="cellIs" priority="41" dxfId="4" operator="notBetween" stopIfTrue="1">
      <formula>0</formula>
      <formula>$N36</formula>
    </cfRule>
  </conditionalFormatting>
  <conditionalFormatting sqref="AC36">
    <cfRule type="expression" priority="35" dxfId="3" stopIfTrue="1">
      <formula>AND(ISNUMBER(AB38),AB38&gt;=$N36)</formula>
    </cfRule>
    <cfRule type="expression" priority="36" dxfId="2" stopIfTrue="1">
      <formula>$B38=FALSE</formula>
    </cfRule>
    <cfRule type="expression" priority="37" dxfId="433" stopIfTrue="1">
      <formula>$C38=1</formula>
    </cfRule>
  </conditionalFormatting>
  <conditionalFormatting sqref="L37:M38">
    <cfRule type="expression" priority="6843" dxfId="429" stopIfTrue="1">
      <formula>$C45=1</formula>
    </cfRule>
  </conditionalFormatting>
  <conditionalFormatting sqref="L39:N39 L42:N42 L40:M41">
    <cfRule type="expression" priority="28" dxfId="429" stopIfTrue="1">
      <formula>$C41=1</formula>
    </cfRule>
  </conditionalFormatting>
  <conditionalFormatting sqref="O39 O42">
    <cfRule type="expression" priority="33" dxfId="2" stopIfTrue="1">
      <formula>$B41=FALSE</formula>
    </cfRule>
    <cfRule type="expression" priority="34" dxfId="433" stopIfTrue="1">
      <formula>$C41=1</formula>
    </cfRule>
  </conditionalFormatting>
  <conditionalFormatting sqref="P40:W40 P43:W43">
    <cfRule type="expression" priority="29" dxfId="7" stopIfTrue="1">
      <formula>AND(ISNUMBER(O41),O41&gt;=$N39)</formula>
    </cfRule>
    <cfRule type="cellIs" priority="30" dxfId="4" operator="notBetween" stopIfTrue="1">
      <formula>0</formula>
      <formula>1</formula>
    </cfRule>
  </conditionalFormatting>
  <conditionalFormatting sqref="P41:W41 P44:W44">
    <cfRule type="expression" priority="31" dxfId="5" stopIfTrue="1">
      <formula>AND(ISNUMBER(O41),O41&gt;=$N39)</formula>
    </cfRule>
    <cfRule type="cellIs" priority="32" dxfId="4" operator="notBetween" stopIfTrue="1">
      <formula>0</formula>
      <formula>$N39</formula>
    </cfRule>
  </conditionalFormatting>
  <conditionalFormatting sqref="P39:W39 P42:W42">
    <cfRule type="expression" priority="25" dxfId="3" stopIfTrue="1">
      <formula>AND(ISNUMBER(O41),O41&gt;=$N39)</formula>
    </cfRule>
    <cfRule type="expression" priority="26" dxfId="2" stopIfTrue="1">
      <formula>$B41=FALSE</formula>
    </cfRule>
    <cfRule type="expression" priority="27" dxfId="433" stopIfTrue="1">
      <formula>$C41=1</formula>
    </cfRule>
  </conditionalFormatting>
  <conditionalFormatting sqref="AC40 AC43">
    <cfRule type="expression" priority="21" dxfId="7" stopIfTrue="1">
      <formula>AND(ISNUMBER(AB41),AB41&gt;=$N39)</formula>
    </cfRule>
    <cfRule type="cellIs" priority="22" dxfId="4" operator="notBetween" stopIfTrue="1">
      <formula>0</formula>
      <formula>1</formula>
    </cfRule>
  </conditionalFormatting>
  <conditionalFormatting sqref="AC41 AC44">
    <cfRule type="expression" priority="23" dxfId="5" stopIfTrue="1">
      <formula>AND(ISNUMBER(AB41),AB41&gt;=$N39)</formula>
    </cfRule>
    <cfRule type="cellIs" priority="24" dxfId="4" operator="notBetween" stopIfTrue="1">
      <formula>0</formula>
      <formula>$N39</formula>
    </cfRule>
  </conditionalFormatting>
  <conditionalFormatting sqref="AC39 AC42">
    <cfRule type="expression" priority="18" dxfId="3" stopIfTrue="1">
      <formula>AND(ISNUMBER(AB41),AB41&gt;=$N39)</formula>
    </cfRule>
    <cfRule type="expression" priority="19" dxfId="2" stopIfTrue="1">
      <formula>$B41=FALSE</formula>
    </cfRule>
    <cfRule type="expression" priority="20" dxfId="433" stopIfTrue="1">
      <formula>$C41=1</formula>
    </cfRule>
  </conditionalFormatting>
  <conditionalFormatting sqref="L43:M44">
    <cfRule type="expression" priority="7132" dxfId="429" stopIfTrue="1">
      <formula>$C45=1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P21:W21 P24:W24 P27:W27 P30:W30 P33:W33 AC21 AC24 AC27 AC30 AC33 P36:W36 AC36 P39:W39 P42:W42 AC39 AC42">
      <formula1>0</formula1>
      <formula2>1-SUM($P11:P11)+P11</formula2>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55"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Adiministrador</cp:lastModifiedBy>
  <cp:lastPrinted>2020-05-27T18:25:30Z</cp:lastPrinted>
  <dcterms:created xsi:type="dcterms:W3CDTF">1998-03-27T18:43:07Z</dcterms:created>
  <dcterms:modified xsi:type="dcterms:W3CDTF">2020-05-28T17:58:08Z</dcterms:modified>
  <cp:category/>
  <cp:version/>
  <cp:contentType/>
  <cp:contentStatus/>
</cp:coreProperties>
</file>