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EstaPasta_de_trabalho"/>
  <bookViews>
    <workbookView xWindow="27315" yWindow="960" windowWidth="15375" windowHeight="7875" activeTab="4"/>
  </bookViews>
  <sheets>
    <sheet name="DADOS" sheetId="66" r:id="rId1"/>
    <sheet name="referencia" sheetId="67" state="hidden" r:id="rId2"/>
    <sheet name="Planilha3" sheetId="69" state="hidden" r:id="rId3"/>
    <sheet name="BDI" sheetId="70" r:id="rId4"/>
    <sheet name="PLANILHA" sheetId="31" r:id="rId5"/>
    <sheet name="PLANILHA RESUMO" sheetId="71" r:id="rId6"/>
    <sheet name="CRONOGRAMA" sheetId="4" r:id="rId7"/>
    <sheet name="MEMÓRIA DE CÁLCULO" sheetId="58" r:id="rId8"/>
    <sheet name="COMPOSIÇÕES" sheetId="61" r:id="rId9"/>
    <sheet name="COTAÇÕES" sheetId="65" state="hidden"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s>
  <definedNames>
    <definedName name="_xlnm.Print_Area" localSheetId="3">BDI!$A$1:$G$57</definedName>
    <definedName name="_xlnm.Print_Area" localSheetId="8">COMPOSIÇÕES!$A$1:$G$89</definedName>
    <definedName name="_xlnm.Print_Area" localSheetId="9">COTAÇÕES!$A$1:$E$34</definedName>
    <definedName name="_xlnm.Print_Area" localSheetId="6">CRONOGRAMA!$A$1:$N$30</definedName>
    <definedName name="_xlnm.Print_Area" localSheetId="7">'MEMÓRIA DE CÁLCULO'!$A$2:$H$111</definedName>
    <definedName name="_xlnm.Print_Area" localSheetId="4">PLANILHA!$A$1:$K$137</definedName>
    <definedName name="_xlnm.Print_Area" localSheetId="5">'PLANILHA RESUMO'!$A$1:$E$42</definedName>
    <definedName name="_xlnm.Database" localSheetId="3">TEXT(Import.DataBase,"mm-aaaa")</definedName>
    <definedName name="_xlnm.Database" localSheetId="5">TEXT(Import.DataBase,"mm-aaaa")</definedName>
    <definedName name="_xlnm.Database">TEXT(Import.DataBase,"mm-aaaa")</definedName>
    <definedName name="ImgEscudo" localSheetId="8">INDEX(Planilha3!$B$1:$B$7,MATCH(DADOS!$D$7,Planilha3!$A$1:$A$7,0))</definedName>
    <definedName name="ImgEscudo" localSheetId="9">INDEX(Planilha3!$B$1:$B$7,MATCH(DADOS!$D$7,Planilha3!$A$1:$A$7,0))</definedName>
    <definedName name="ImgEscudo" localSheetId="6">INDEX(Planilha3!$B$1:$B$7,MATCH(DADOS!$D$7,Planilha3!$A$1:$A$7,0))</definedName>
    <definedName name="ImgEscudo" localSheetId="7">INDEX(Planilha3!$B$1:$B$7,MATCH(DADOS!$D$7,Planilha3!$A$1:$A$7,0))</definedName>
    <definedName name="ImgEscudo" localSheetId="4">INDEX(Planilha3!$B$1:$B$7,MATCH(DADOS!$D$7,Planilha3!$A$1:$A$7,0))</definedName>
    <definedName name="ImgEscudo" localSheetId="5">INDEX([1]Planilha3!$B$1:$B$7,MATCH([1]DADOS!$D$7,[1]Planilha3!$A$1:$A$7,0))</definedName>
    <definedName name="ImgEscudo" localSheetId="2">INDEX(Planilha3!$B$1:$B$7,MATCH(DADOS!$D$7,Planilha3!$A$1:$A$7,0))</definedName>
    <definedName name="Import.DataBase">[2]DADOS!$A$38</definedName>
    <definedName name="M2_" comment="ENGELUGA">PLANILHA!$F$12</definedName>
    <definedName name="Referencia.Unidade" localSheetId="3">IF(ISNUMBER([2]PO!linhaSINAPIxls),INDEX(INDIRECT("'[Referência "&amp;BDI!_xlnm.Database&amp;".xls]Banco'!$b:$g"),[2]PO!linhaSINAPIxls,4),"")</definedName>
    <definedName name="Referencia.Unidade" localSheetId="5">IF(ISNUMBER([2]PO!linhaSINAPIxls),INDEX(INDIRECT("'[Referência "&amp;'PLANILHA RESUMO'!_xlnm.Database&amp;".xls]Banco'!$b:$g"),[2]PO!linhaSINAPIxls,4),"")</definedName>
    <definedName name="Referencia.Unidade">IF(ISNUMBER([2]PO!linhaSINAPIxls),INDEX(INDIRECT("'[Referência "&amp;_xlnm.Database&amp;".xls]Banco'!$b:$g"),[2]PO!linhaSINAPIxls,4),"")</definedName>
    <definedName name="SDSD" comment="SDSDSSD" localSheetId="4">PLANILHA!$F$12</definedName>
    <definedName name="TipoOrçamento">"BASE"</definedName>
    <definedName name="_xlnm.Print_Titles" localSheetId="3">BDI!$1:$2</definedName>
  </definedNames>
  <calcPr calcId="144525"/>
</workbook>
</file>

<file path=xl/calcChain.xml><?xml version="1.0" encoding="utf-8"?>
<calcChain xmlns="http://schemas.openxmlformats.org/spreadsheetml/2006/main">
  <c r="A3" i="71" l="1"/>
  <c r="A4" i="71"/>
  <c r="A5" i="71"/>
  <c r="A6" i="71"/>
  <c r="C28" i="71"/>
  <c r="A28" i="71"/>
  <c r="C27" i="71"/>
  <c r="A27" i="71"/>
  <c r="C26" i="71"/>
  <c r="A26" i="71"/>
  <c r="C24" i="71"/>
  <c r="A24" i="71"/>
  <c r="C23" i="71"/>
  <c r="A23" i="71"/>
  <c r="C22" i="71"/>
  <c r="A22" i="71"/>
  <c r="C21" i="71"/>
  <c r="A21" i="71"/>
  <c r="C20" i="71"/>
  <c r="A20" i="71"/>
  <c r="C19" i="71"/>
  <c r="A19" i="71"/>
  <c r="C18" i="71"/>
  <c r="A18" i="71"/>
  <c r="C17" i="71"/>
  <c r="A17" i="71"/>
  <c r="C16" i="71"/>
  <c r="A16" i="71"/>
  <c r="C15" i="71"/>
  <c r="A15" i="71"/>
  <c r="C14" i="71"/>
  <c r="A14" i="71"/>
  <c r="C13" i="71"/>
  <c r="A13" i="71"/>
  <c r="C12" i="71"/>
  <c r="A12" i="71"/>
  <c r="BU311" i="70"/>
  <c r="BU310" i="70"/>
  <c r="CD309" i="70"/>
  <c r="CD310" i="70" s="1"/>
  <c r="CD311" i="70" s="1"/>
  <c r="CD312" i="70" s="1"/>
  <c r="BU309" i="70"/>
  <c r="CD308" i="70"/>
  <c r="BT308" i="70"/>
  <c r="BU308" i="70" s="1"/>
  <c r="CE307" i="70"/>
  <c r="CD307" i="70"/>
  <c r="BU307" i="70"/>
  <c r="BU306" i="70"/>
  <c r="BT306" i="70"/>
  <c r="CE300" i="70"/>
  <c r="CD300" i="70"/>
  <c r="CD301" i="70" s="1"/>
  <c r="CD302" i="70" s="1"/>
  <c r="CD303" i="70" s="1"/>
  <c r="CD304" i="70" s="1"/>
  <c r="CD305" i="70" s="1"/>
  <c r="BU295" i="70"/>
  <c r="BU296" i="70" s="1"/>
  <c r="CE294" i="70"/>
  <c r="CD294" i="70"/>
  <c r="CD295" i="70" s="1"/>
  <c r="CD296" i="70" s="1"/>
  <c r="CD297" i="70" s="1"/>
  <c r="CD298" i="70" s="1"/>
  <c r="CD299" i="70" s="1"/>
  <c r="CD288" i="70"/>
  <c r="CD289" i="70" s="1"/>
  <c r="CD290" i="70" s="1"/>
  <c r="CD291" i="70" s="1"/>
  <c r="CD292" i="70" s="1"/>
  <c r="CE287" i="70"/>
  <c r="CD287" i="70"/>
  <c r="CE279" i="70"/>
  <c r="CD279" i="70"/>
  <c r="CD280" i="70" s="1"/>
  <c r="CD281" i="70" s="1"/>
  <c r="CD282" i="70" s="1"/>
  <c r="CD283" i="70" s="1"/>
  <c r="CD284" i="70" s="1"/>
  <c r="CE271" i="70"/>
  <c r="CD271" i="70"/>
  <c r="CD272" i="70" s="1"/>
  <c r="CD273" i="70" s="1"/>
  <c r="CD274" i="70" s="1"/>
  <c r="CD275" i="70" s="1"/>
  <c r="CD276" i="70" s="1"/>
  <c r="CI267" i="70"/>
  <c r="BV262" i="70"/>
  <c r="BV261" i="70"/>
  <c r="BV260" i="70"/>
  <c r="BV259" i="70"/>
  <c r="BV258" i="70"/>
  <c r="BV257" i="70"/>
  <c r="K54" i="70"/>
  <c r="K45" i="70"/>
  <c r="I36" i="70"/>
  <c r="I35" i="70"/>
  <c r="I34" i="70"/>
  <c r="I33" i="70"/>
  <c r="I32" i="70"/>
  <c r="C21" i="70"/>
  <c r="CI266" i="70" s="1"/>
  <c r="K8" i="70"/>
  <c r="BW296" i="70" l="1"/>
  <c r="D32" i="70" s="1"/>
  <c r="BV296" i="70"/>
  <c r="C32" i="70" s="1"/>
  <c r="BX296" i="70"/>
  <c r="E32" i="70" s="1"/>
  <c r="K32" i="70" s="1"/>
  <c r="BU297" i="70"/>
  <c r="B12" i="70"/>
  <c r="BW295" i="70"/>
  <c r="D50" i="70" s="1"/>
  <c r="F23" i="70"/>
  <c r="BX295" i="70"/>
  <c r="E50" i="70" s="1"/>
  <c r="BV295" i="70"/>
  <c r="C50" i="70" s="1"/>
  <c r="BU298" i="70" l="1"/>
  <c r="BX297" i="70"/>
  <c r="E33" i="70" s="1"/>
  <c r="K33" i="70" s="1"/>
  <c r="BW297" i="70"/>
  <c r="D33" i="70" s="1"/>
  <c r="BV297" i="70"/>
  <c r="C33" i="70" s="1"/>
  <c r="F56" i="70"/>
  <c r="I56" i="70" s="1"/>
  <c r="E54" i="70" s="1"/>
  <c r="F38" i="70"/>
  <c r="I38" i="70" s="1"/>
  <c r="E45" i="70" s="1"/>
  <c r="B47" i="70" s="1"/>
  <c r="BV298" i="70" l="1"/>
  <c r="C34" i="70" s="1"/>
  <c r="BU299" i="70"/>
  <c r="BX298" i="70"/>
  <c r="E34" i="70" s="1"/>
  <c r="BW298" i="70"/>
  <c r="D34" i="70" s="1"/>
  <c r="K34" i="70" l="1"/>
  <c r="BX299" i="70"/>
  <c r="E35" i="70" s="1"/>
  <c r="BW299" i="70"/>
  <c r="D35" i="70" s="1"/>
  <c r="BV299" i="70"/>
  <c r="C35" i="70" s="1"/>
  <c r="BU300" i="70"/>
  <c r="BX300" i="70" l="1"/>
  <c r="E36" i="70" s="1"/>
  <c r="K36" i="70" s="1"/>
  <c r="BW300" i="70"/>
  <c r="D36" i="70" s="1"/>
  <c r="BV300" i="70"/>
  <c r="C36" i="70" s="1"/>
  <c r="K35" i="70"/>
  <c r="F51" i="31" l="1"/>
  <c r="H96" i="58"/>
  <c r="H85" i="58"/>
  <c r="K32" i="58"/>
  <c r="K31" i="58"/>
  <c r="K30" i="58"/>
  <c r="K33" i="58" s="1"/>
  <c r="H14" i="58"/>
  <c r="H95" i="58"/>
  <c r="H83" i="58"/>
  <c r="F75" i="61" l="1"/>
  <c r="F74" i="61"/>
  <c r="F70" i="61"/>
  <c r="F69" i="61"/>
  <c r="F68" i="61"/>
  <c r="F67" i="61"/>
  <c r="F66" i="61"/>
  <c r="F65" i="61"/>
  <c r="F64" i="61"/>
  <c r="F63" i="61"/>
  <c r="F62" i="61"/>
  <c r="F61" i="61"/>
  <c r="F60" i="61"/>
  <c r="F56" i="61"/>
  <c r="F55" i="61"/>
  <c r="F54" i="61"/>
  <c r="F53" i="61"/>
  <c r="F52" i="61"/>
  <c r="F51" i="61"/>
  <c r="F50" i="61"/>
  <c r="F49" i="61"/>
  <c r="F48" i="61"/>
  <c r="F47" i="61"/>
  <c r="F45" i="61"/>
  <c r="F44" i="61"/>
  <c r="F43" i="61"/>
  <c r="F42" i="61"/>
  <c r="F41" i="61"/>
  <c r="F40" i="61"/>
  <c r="F39" i="61"/>
  <c r="F38" i="61"/>
  <c r="F37" i="61"/>
  <c r="F36" i="61"/>
  <c r="F32" i="61"/>
  <c r="F31" i="61"/>
  <c r="F30" i="61"/>
  <c r="F29" i="61"/>
  <c r="F28" i="61"/>
  <c r="F27" i="61"/>
  <c r="F26" i="61"/>
  <c r="F25" i="61"/>
  <c r="F24" i="61"/>
  <c r="F20" i="61"/>
  <c r="F19" i="61"/>
  <c r="D75" i="61"/>
  <c r="C75" i="61"/>
  <c r="D74" i="61"/>
  <c r="C74" i="61"/>
  <c r="D70" i="61"/>
  <c r="C70" i="61"/>
  <c r="D69" i="61"/>
  <c r="C69" i="61"/>
  <c r="D68" i="61"/>
  <c r="C68" i="61"/>
  <c r="D67" i="61"/>
  <c r="C67" i="61"/>
  <c r="D66" i="61"/>
  <c r="C66" i="61"/>
  <c r="D65" i="61"/>
  <c r="C65" i="61"/>
  <c r="D64" i="61"/>
  <c r="C64" i="61"/>
  <c r="D63" i="61"/>
  <c r="C63" i="61"/>
  <c r="D62" i="61"/>
  <c r="C62" i="61"/>
  <c r="D61" i="61"/>
  <c r="C61" i="61"/>
  <c r="C60" i="61"/>
  <c r="D56" i="61"/>
  <c r="C56" i="61"/>
  <c r="D55" i="61"/>
  <c r="C55" i="61"/>
  <c r="D54" i="61"/>
  <c r="C54" i="61"/>
  <c r="D53" i="61"/>
  <c r="C53" i="61"/>
  <c r="D52" i="61"/>
  <c r="C52" i="61"/>
  <c r="D51" i="61"/>
  <c r="C51" i="61"/>
  <c r="D50" i="61"/>
  <c r="C50" i="61"/>
  <c r="D49" i="61"/>
  <c r="C49" i="61"/>
  <c r="D48" i="61"/>
  <c r="C48" i="61"/>
  <c r="D47" i="61"/>
  <c r="C47" i="61"/>
  <c r="D45" i="61"/>
  <c r="C45" i="61"/>
  <c r="D44" i="61"/>
  <c r="C44" i="61"/>
  <c r="D43" i="61"/>
  <c r="C43" i="61"/>
  <c r="D42" i="61"/>
  <c r="C42" i="61"/>
  <c r="D41" i="61"/>
  <c r="C41" i="61"/>
  <c r="D40" i="61"/>
  <c r="C40" i="61"/>
  <c r="D39" i="61"/>
  <c r="C39" i="61"/>
  <c r="D38" i="61"/>
  <c r="C38" i="61"/>
  <c r="D37" i="61"/>
  <c r="C37" i="61"/>
  <c r="D36" i="61"/>
  <c r="C36" i="61"/>
  <c r="D32" i="61"/>
  <c r="C32" i="61"/>
  <c r="D31" i="61"/>
  <c r="C31" i="61"/>
  <c r="D30" i="61"/>
  <c r="C30" i="61"/>
  <c r="D29" i="61"/>
  <c r="C29" i="61"/>
  <c r="D28" i="61"/>
  <c r="C28" i="61"/>
  <c r="D27" i="61"/>
  <c r="C27" i="61"/>
  <c r="D26" i="61"/>
  <c r="C26" i="61"/>
  <c r="D25" i="61"/>
  <c r="C25" i="61"/>
  <c r="D24" i="61"/>
  <c r="C24" i="61"/>
  <c r="D20" i="61"/>
  <c r="C20" i="61"/>
  <c r="D19" i="61"/>
  <c r="C19" i="61"/>
  <c r="F10" i="61"/>
  <c r="F11" i="61"/>
  <c r="F12" i="61"/>
  <c r="F13" i="61"/>
  <c r="F14" i="61"/>
  <c r="F15" i="61"/>
  <c r="F9" i="61"/>
  <c r="D15" i="61"/>
  <c r="C15" i="61"/>
  <c r="D14" i="61"/>
  <c r="C14" i="61"/>
  <c r="D13" i="61"/>
  <c r="C13" i="61"/>
  <c r="D12" i="61"/>
  <c r="C12" i="61"/>
  <c r="D11" i="61"/>
  <c r="C11" i="61"/>
  <c r="D10" i="61"/>
  <c r="C10" i="61"/>
  <c r="D9" i="61"/>
  <c r="C9" i="61"/>
  <c r="E124" i="31"/>
  <c r="D124" i="31"/>
  <c r="E123" i="31"/>
  <c r="D123" i="31"/>
  <c r="E119" i="31"/>
  <c r="D119" i="31"/>
  <c r="E118" i="31"/>
  <c r="D118" i="31"/>
  <c r="D112" i="31"/>
  <c r="D111" i="31"/>
  <c r="E105" i="31"/>
  <c r="D105" i="31"/>
  <c r="E104" i="31"/>
  <c r="D104" i="31"/>
  <c r="E103" i="31"/>
  <c r="D103" i="31"/>
  <c r="E102" i="31"/>
  <c r="D102" i="31"/>
  <c r="E101" i="31"/>
  <c r="D101" i="31"/>
  <c r="E106" i="31"/>
  <c r="D106" i="31"/>
  <c r="E96" i="31"/>
  <c r="E95" i="31"/>
  <c r="E94" i="31"/>
  <c r="E89" i="31"/>
  <c r="E85" i="31"/>
  <c r="E84" i="31"/>
  <c r="E83" i="31"/>
  <c r="E82" i="31"/>
  <c r="E80" i="31"/>
  <c r="E79" i="31"/>
  <c r="E78" i="31"/>
  <c r="E76" i="31"/>
  <c r="E75" i="31"/>
  <c r="E73" i="31"/>
  <c r="E68" i="31"/>
  <c r="E63" i="31"/>
  <c r="E62" i="31"/>
  <c r="E61" i="31"/>
  <c r="E60" i="31"/>
  <c r="E59" i="31"/>
  <c r="E58" i="31"/>
  <c r="E54" i="31"/>
  <c r="E53" i="31"/>
  <c r="E52" i="31"/>
  <c r="E51" i="31"/>
  <c r="E50" i="31"/>
  <c r="E49" i="31"/>
  <c r="E45" i="31"/>
  <c r="E44" i="31"/>
  <c r="E43" i="31"/>
  <c r="E37" i="31"/>
  <c r="E36" i="31"/>
  <c r="E35" i="31"/>
  <c r="E34" i="31"/>
  <c r="E33" i="31"/>
  <c r="E32" i="31"/>
  <c r="E31" i="31"/>
  <c r="E29" i="31"/>
  <c r="E28" i="31"/>
  <c r="E23" i="31"/>
  <c r="E22" i="31"/>
  <c r="F29" i="31"/>
  <c r="F30" i="31"/>
  <c r="F31" i="31"/>
  <c r="F32" i="31"/>
  <c r="F33" i="31"/>
  <c r="F34" i="31"/>
  <c r="F35" i="31"/>
  <c r="F36" i="31"/>
  <c r="F37" i="31"/>
  <c r="F38" i="31"/>
  <c r="D97" i="31"/>
  <c r="D96" i="31"/>
  <c r="D95" i="31"/>
  <c r="D94" i="31"/>
  <c r="D93" i="31"/>
  <c r="D92" i="31"/>
  <c r="D91" i="31"/>
  <c r="D90" i="31"/>
  <c r="D89" i="31"/>
  <c r="D85" i="31"/>
  <c r="D84" i="31"/>
  <c r="D83" i="31"/>
  <c r="D82" i="31"/>
  <c r="D81" i="31"/>
  <c r="D80" i="31"/>
  <c r="D79" i="31"/>
  <c r="D78" i="31"/>
  <c r="D77" i="31"/>
  <c r="D76" i="31"/>
  <c r="D75" i="31"/>
  <c r="D74" i="31"/>
  <c r="D73" i="31"/>
  <c r="D68" i="31"/>
  <c r="D67" i="31"/>
  <c r="D63" i="31"/>
  <c r="B54" i="58" s="1"/>
  <c r="D62" i="31"/>
  <c r="D61" i="31"/>
  <c r="D60" i="31"/>
  <c r="D59" i="31"/>
  <c r="D58" i="31"/>
  <c r="D54" i="31"/>
  <c r="D53" i="31"/>
  <c r="D52" i="31"/>
  <c r="D51" i="31"/>
  <c r="D50" i="31"/>
  <c r="D49" i="31"/>
  <c r="D45" i="31"/>
  <c r="D44" i="31"/>
  <c r="D43" i="31"/>
  <c r="D37" i="31"/>
  <c r="B34" i="58" s="1"/>
  <c r="D36" i="31"/>
  <c r="D35" i="31"/>
  <c r="D34" i="31"/>
  <c r="D33" i="31"/>
  <c r="D32" i="31"/>
  <c r="D31" i="31"/>
  <c r="D30" i="31"/>
  <c r="D29" i="31"/>
  <c r="D28" i="31"/>
  <c r="D24" i="31"/>
  <c r="D23" i="31"/>
  <c r="D22" i="31"/>
  <c r="D16" i="31"/>
  <c r="E15" i="31"/>
  <c r="D15" i="31"/>
  <c r="E14" i="31"/>
  <c r="D14" i="31"/>
  <c r="E13" i="31"/>
  <c r="D13" i="31"/>
  <c r="E12" i="31"/>
  <c r="D12" i="31"/>
  <c r="H23" i="58"/>
  <c r="H54" i="58"/>
  <c r="F63" i="31" s="1"/>
  <c r="A54" i="58"/>
  <c r="H53" i="58"/>
  <c r="F62" i="31" s="1"/>
  <c r="A26" i="58"/>
  <c r="A27" i="58"/>
  <c r="A28" i="58"/>
  <c r="A29" i="58"/>
  <c r="A30" i="58"/>
  <c r="A31" i="58"/>
  <c r="A32" i="58"/>
  <c r="A33" i="58"/>
  <c r="A34" i="58"/>
  <c r="A35" i="58"/>
  <c r="B33" i="58"/>
  <c r="F112" i="31"/>
  <c r="F113" i="31"/>
  <c r="F114" i="31"/>
  <c r="F111" i="31"/>
  <c r="F102" i="31"/>
  <c r="F103" i="31"/>
  <c r="F104" i="31"/>
  <c r="F105" i="31"/>
  <c r="F106" i="31"/>
  <c r="F101" i="31"/>
  <c r="F90" i="31"/>
  <c r="F91" i="31"/>
  <c r="F92" i="31"/>
  <c r="F93" i="31"/>
  <c r="F94" i="31"/>
  <c r="F95" i="31"/>
  <c r="F96" i="31"/>
  <c r="F97" i="31"/>
  <c r="F89" i="31"/>
  <c r="F73" i="31"/>
  <c r="F74" i="31"/>
  <c r="F75" i="31"/>
  <c r="F76" i="31"/>
  <c r="F77" i="31"/>
  <c r="F78" i="31"/>
  <c r="F79" i="31"/>
  <c r="F80" i="31"/>
  <c r="F81" i="31"/>
  <c r="F82" i="31"/>
  <c r="F83" i="31"/>
  <c r="F84" i="31"/>
  <c r="F85" i="31"/>
  <c r="F58" i="31"/>
  <c r="F59" i="31"/>
  <c r="F60" i="31"/>
  <c r="F61" i="31"/>
  <c r="F67" i="31"/>
  <c r="L32" i="58" l="1"/>
  <c r="L30" i="58"/>
  <c r="N31" i="58"/>
  <c r="L31" i="58"/>
  <c r="N33" i="58"/>
  <c r="K34" i="58"/>
  <c r="N32" i="58"/>
  <c r="F23" i="31"/>
  <c r="F24" i="31"/>
  <c r="F22" i="31"/>
  <c r="F28" i="31"/>
  <c r="F14" i="31"/>
  <c r="F15" i="31"/>
  <c r="F16" i="31"/>
  <c r="F11" i="31"/>
  <c r="G24" i="61"/>
  <c r="G25" i="61"/>
  <c r="G26" i="61"/>
  <c r="G27" i="61"/>
  <c r="G28" i="61"/>
  <c r="G29" i="61"/>
  <c r="G30" i="61"/>
  <c r="G31" i="61"/>
  <c r="G32" i="61"/>
  <c r="G33" i="61" l="1"/>
  <c r="L33" i="58"/>
  <c r="N34" i="58" s="1"/>
  <c r="O33" i="58"/>
  <c r="A5" i="4"/>
  <c r="E114" i="31"/>
  <c r="D114" i="31"/>
  <c r="B93" i="58"/>
  <c r="G75" i="61"/>
  <c r="G74" i="61"/>
  <c r="A102" i="58"/>
  <c r="B88" i="58"/>
  <c r="B87" i="58"/>
  <c r="B46" i="58"/>
  <c r="B45" i="58"/>
  <c r="D42" i="31"/>
  <c r="E42" i="31"/>
  <c r="B32" i="58"/>
  <c r="B31" i="58"/>
  <c r="B30" i="58"/>
  <c r="B29" i="58"/>
  <c r="B28" i="58"/>
  <c r="B27" i="58"/>
  <c r="B26" i="58"/>
  <c r="A87" i="58"/>
  <c r="A88" i="58"/>
  <c r="A46" i="58"/>
  <c r="F53" i="31"/>
  <c r="F52" i="31"/>
  <c r="A45" i="58"/>
  <c r="F13" i="31"/>
  <c r="G76" i="61" l="1"/>
  <c r="B14" i="58" l="1"/>
  <c r="B15" i="58"/>
  <c r="B16" i="58"/>
  <c r="G55" i="61" l="1"/>
  <c r="G56" i="61"/>
  <c r="G61" i="61" l="1"/>
  <c r="G68" i="61"/>
  <c r="G69" i="61"/>
  <c r="G70" i="61"/>
  <c r="G60" i="61"/>
  <c r="A91" i="58"/>
  <c r="E64" i="61"/>
  <c r="B91" i="58"/>
  <c r="A68" i="58"/>
  <c r="A69" i="58"/>
  <c r="A70" i="58"/>
  <c r="A71" i="58"/>
  <c r="A72" i="58"/>
  <c r="B72" i="58"/>
  <c r="A73" i="58"/>
  <c r="A74" i="58"/>
  <c r="A75" i="58"/>
  <c r="A76" i="58"/>
  <c r="A77" i="58"/>
  <c r="A78" i="58"/>
  <c r="A79" i="58"/>
  <c r="A80" i="58"/>
  <c r="A81" i="58"/>
  <c r="B81" i="58"/>
  <c r="B80" i="58"/>
  <c r="B79" i="58"/>
  <c r="B78" i="58"/>
  <c r="B77" i="58"/>
  <c r="B76" i="58"/>
  <c r="B75" i="58"/>
  <c r="B74" i="58"/>
  <c r="B73" i="58"/>
  <c r="A57" i="58"/>
  <c r="B57" i="58"/>
  <c r="F68" i="31"/>
  <c r="J98" i="31" l="1"/>
  <c r="J99" i="31" l="1"/>
  <c r="E23" i="71"/>
  <c r="C42" i="31"/>
  <c r="G67" i="61"/>
  <c r="G66" i="61"/>
  <c r="G65" i="61"/>
  <c r="G64" i="61"/>
  <c r="G63" i="61"/>
  <c r="G62" i="61"/>
  <c r="G71" i="61" s="1"/>
  <c r="A53" i="58"/>
  <c r="B53" i="58"/>
  <c r="F43" i="31"/>
  <c r="F44" i="31"/>
  <c r="F45" i="31"/>
  <c r="F42" i="31"/>
  <c r="A38" i="58"/>
  <c r="A39" i="58"/>
  <c r="A40" i="58"/>
  <c r="A37" i="58"/>
  <c r="B36" i="58"/>
  <c r="A36" i="58"/>
  <c r="B40" i="58"/>
  <c r="B39" i="58"/>
  <c r="B38" i="58"/>
  <c r="A23" i="58"/>
  <c r="B23" i="58"/>
  <c r="B37" i="58" l="1"/>
  <c r="J46" i="31" l="1"/>
  <c r="E17" i="71" s="1"/>
  <c r="J47" i="31" l="1"/>
  <c r="F50" i="31"/>
  <c r="F54" i="31"/>
  <c r="A47" i="58"/>
  <c r="B47" i="58"/>
  <c r="E113" i="31"/>
  <c r="D113" i="31"/>
  <c r="C113" i="31"/>
  <c r="A92" i="58"/>
  <c r="D46" i="61"/>
  <c r="C46" i="61"/>
  <c r="B46" i="61"/>
  <c r="G37" i="61"/>
  <c r="G38" i="61"/>
  <c r="G39" i="61"/>
  <c r="G40" i="61"/>
  <c r="G41" i="61"/>
  <c r="G42" i="61"/>
  <c r="G43" i="61"/>
  <c r="G44" i="61"/>
  <c r="G45" i="61"/>
  <c r="G47" i="61"/>
  <c r="G48" i="61"/>
  <c r="G49" i="61"/>
  <c r="G50" i="61"/>
  <c r="G51" i="61"/>
  <c r="G52" i="61"/>
  <c r="G53" i="61"/>
  <c r="G54" i="61"/>
  <c r="K46" i="31" l="1"/>
  <c r="B92" i="58"/>
  <c r="F46" i="61"/>
  <c r="G46" i="61" s="1"/>
  <c r="G36" i="61" l="1"/>
  <c r="N10" i="4"/>
  <c r="N11" i="4"/>
  <c r="N12" i="4"/>
  <c r="N13" i="4"/>
  <c r="N9" i="4"/>
  <c r="A44" i="58"/>
  <c r="B44" i="58"/>
  <c r="G57" i="61" l="1"/>
  <c r="A59" i="58" l="1"/>
  <c r="A60" i="58"/>
  <c r="B60" i="58"/>
  <c r="B59" i="58"/>
  <c r="A84" i="58" l="1"/>
  <c r="A85" i="58"/>
  <c r="A86" i="58"/>
  <c r="A62" i="58"/>
  <c r="A63" i="58"/>
  <c r="A64" i="58"/>
  <c r="A65" i="58"/>
  <c r="A66" i="58"/>
  <c r="A67" i="58"/>
  <c r="B66" i="58"/>
  <c r="A22" i="58"/>
  <c r="B22" i="58"/>
  <c r="D38" i="31" l="1"/>
  <c r="B35" i="58" s="1"/>
  <c r="C38" i="31"/>
  <c r="B64" i="58" l="1"/>
  <c r="F118" i="31"/>
  <c r="F119" i="31"/>
  <c r="A21" i="58"/>
  <c r="B21" i="58"/>
  <c r="J25" i="31" l="1"/>
  <c r="E15" i="71" s="1"/>
  <c r="B65" i="58" l="1"/>
  <c r="A82" i="58"/>
  <c r="A5" i="65" l="1"/>
  <c r="A2" i="4"/>
  <c r="A4" i="65"/>
  <c r="A3" i="65"/>
  <c r="A4" i="4"/>
  <c r="A3" i="4"/>
  <c r="E18" i="65"/>
  <c r="F49" i="31"/>
  <c r="A42" i="58" l="1"/>
  <c r="B42" i="58"/>
  <c r="A79" i="61"/>
  <c r="B61" i="58" l="1"/>
  <c r="B62" i="58"/>
  <c r="B63" i="58"/>
  <c r="A90" i="58" l="1"/>
  <c r="B90" i="58"/>
  <c r="G20" i="61"/>
  <c r="G19" i="61"/>
  <c r="G21" i="61" s="1"/>
  <c r="J115" i="31" l="1"/>
  <c r="E26" i="71" s="1"/>
  <c r="B86" i="58" l="1"/>
  <c r="A25" i="58"/>
  <c r="B25" i="58" l="1"/>
  <c r="B11" i="4" l="1"/>
  <c r="B68" i="58" l="1"/>
  <c r="B67" i="58"/>
  <c r="B69" i="58"/>
  <c r="B22" i="65"/>
  <c r="B21" i="65"/>
  <c r="B20" i="65"/>
  <c r="E11" i="31" l="1"/>
  <c r="C11" i="31"/>
  <c r="K25" i="31" l="1"/>
  <c r="B70" i="58"/>
  <c r="B84" i="58"/>
  <c r="A61" i="58"/>
  <c r="B58" i="58"/>
  <c r="A58" i="58"/>
  <c r="B71" i="58"/>
  <c r="J86" i="31" l="1"/>
  <c r="E22" i="71" s="1"/>
  <c r="J39" i="31"/>
  <c r="E16" i="71" s="1"/>
  <c r="A43" i="58"/>
  <c r="B43" i="58"/>
  <c r="J55" i="31"/>
  <c r="E18" i="71" s="1"/>
  <c r="A52" i="58" l="1"/>
  <c r="F123" i="31"/>
  <c r="F124" i="31"/>
  <c r="B52" i="58"/>
  <c r="K98" i="31" l="1"/>
  <c r="B89" i="58" l="1"/>
  <c r="A89" i="58"/>
  <c r="G15" i="61"/>
  <c r="G14" i="61"/>
  <c r="G13" i="61"/>
  <c r="G12" i="61"/>
  <c r="G11" i="61"/>
  <c r="G10" i="61"/>
  <c r="G9" i="61"/>
  <c r="G16" i="61" l="1"/>
  <c r="A83" i="58"/>
  <c r="B83" i="58"/>
  <c r="A56" i="58" l="1"/>
  <c r="B56" i="58"/>
  <c r="B50" i="58"/>
  <c r="J69" i="31" l="1"/>
  <c r="E20" i="71" s="1"/>
  <c r="A6" i="69" l="1"/>
  <c r="A5" i="69"/>
  <c r="A4" i="69"/>
  <c r="A3" i="69"/>
  <c r="A2" i="69"/>
  <c r="A1" i="69"/>
  <c r="B12" i="4" l="1"/>
  <c r="D25" i="66" l="1"/>
  <c r="A50" i="58" l="1"/>
  <c r="A51" i="58"/>
  <c r="A49" i="58"/>
  <c r="B49" i="58"/>
  <c r="B51" i="58"/>
  <c r="J64" i="31" l="1"/>
  <c r="A99" i="58"/>
  <c r="A98" i="58"/>
  <c r="B97" i="58"/>
  <c r="B13" i="4" s="1"/>
  <c r="A97" i="58"/>
  <c r="A96" i="58"/>
  <c r="A95" i="58"/>
  <c r="B94" i="58"/>
  <c r="A94" i="58"/>
  <c r="B82" i="58"/>
  <c r="B55" i="58"/>
  <c r="A55" i="58"/>
  <c r="B48" i="58"/>
  <c r="A48" i="58"/>
  <c r="B41" i="58"/>
  <c r="A41" i="58"/>
  <c r="B24" i="58"/>
  <c r="A24" i="58"/>
  <c r="B20" i="58"/>
  <c r="A20" i="58"/>
  <c r="B18" i="58"/>
  <c r="A19" i="58"/>
  <c r="B19" i="58"/>
  <c r="B12" i="58"/>
  <c r="E19" i="71" l="1"/>
  <c r="B99" i="58" l="1"/>
  <c r="B98" i="58"/>
  <c r="B96" i="58"/>
  <c r="B95" i="58"/>
  <c r="B85" i="58"/>
  <c r="B13" i="58"/>
  <c r="B17" i="58"/>
  <c r="B10" i="4" l="1"/>
  <c r="B9" i="4"/>
  <c r="F12" i="31"/>
  <c r="J107" i="31" l="1"/>
  <c r="E24" i="71" s="1"/>
  <c r="E25" i="71" s="1"/>
  <c r="J108" i="31" l="1"/>
  <c r="K55" i="31" l="1"/>
  <c r="J56" i="31"/>
  <c r="J26" i="31" l="1"/>
  <c r="D4" i="61"/>
  <c r="A4" i="61"/>
  <c r="A3" i="61"/>
  <c r="A2" i="61"/>
  <c r="A1" i="61"/>
  <c r="D5" i="58"/>
  <c r="A5" i="58"/>
  <c r="A4" i="58"/>
  <c r="A3" i="58"/>
  <c r="A2" i="58"/>
  <c r="D22" i="66"/>
  <c r="A2" i="31"/>
  <c r="E5" i="31"/>
  <c r="A5" i="31"/>
  <c r="A4" i="31"/>
  <c r="A3" i="31"/>
  <c r="J17" i="31" l="1"/>
  <c r="E12" i="71" s="1"/>
  <c r="J18" i="31" l="1"/>
  <c r="E20" i="63"/>
  <c r="C20" i="63"/>
  <c r="C17" i="63"/>
  <c r="C4" i="63"/>
  <c r="E7" i="63"/>
  <c r="F7" i="63" s="1"/>
  <c r="E6" i="63"/>
  <c r="F6" i="63" s="1"/>
  <c r="E5" i="63"/>
  <c r="F5" i="63" s="1"/>
  <c r="E4" i="63"/>
  <c r="L19" i="64"/>
  <c r="N19" i="64" s="1"/>
  <c r="L12" i="64"/>
  <c r="C9" i="4" l="1"/>
  <c r="M9" i="4" s="1"/>
  <c r="F20" i="63"/>
  <c r="F4" i="63"/>
  <c r="E9" i="4" l="1"/>
  <c r="J116" i="31"/>
  <c r="J87" i="31" l="1"/>
  <c r="C11" i="4"/>
  <c r="M11" i="4" s="1"/>
  <c r="J40" i="31"/>
  <c r="A25" i="65"/>
  <c r="K115" i="31" l="1"/>
  <c r="K86" i="31"/>
  <c r="G11" i="4"/>
  <c r="I11" i="4"/>
  <c r="K11" i="4"/>
  <c r="K39"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22" i="64"/>
  <c r="I34" i="64"/>
  <c r="E28" i="64"/>
  <c r="F28" i="64" s="1"/>
  <c r="E27" i="64"/>
  <c r="F27" i="64" s="1"/>
  <c r="E26" i="64"/>
  <c r="F26" i="64" s="1"/>
  <c r="E25" i="64"/>
  <c r="F25" i="64" s="1"/>
  <c r="E24" i="64"/>
  <c r="F24" i="64" s="1"/>
  <c r="I10" i="64"/>
  <c r="E11" i="4" l="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J70" i="31" l="1"/>
  <c r="K69" i="3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J65" i="31" l="1"/>
  <c r="K64" i="31" l="1"/>
  <c r="J109" i="31"/>
  <c r="J125" i="31"/>
  <c r="J126" i="31" l="1"/>
  <c r="E28" i="71" s="1"/>
  <c r="C13" i="4" l="1"/>
  <c r="M13" i="4" s="1"/>
  <c r="K17" i="31"/>
  <c r="E13" i="4" l="1"/>
  <c r="G13" i="4"/>
  <c r="K13" i="4"/>
  <c r="I13" i="4"/>
  <c r="K125" i="31"/>
  <c r="A21" i="4"/>
  <c r="G9" i="4" l="1"/>
  <c r="K9" i="4" l="1"/>
  <c r="I9" i="4"/>
  <c r="C10" i="4" l="1"/>
  <c r="M10" i="4" s="1"/>
  <c r="K107" i="31" l="1"/>
  <c r="I10" i="4"/>
  <c r="E10" i="4"/>
  <c r="K10" i="4"/>
  <c r="G10" i="4"/>
  <c r="J120" i="31"/>
  <c r="E27" i="71" s="1"/>
  <c r="E29" i="71" s="1"/>
  <c r="J121" i="31" l="1"/>
  <c r="J127" i="31" s="1"/>
  <c r="M132" i="31" s="1"/>
  <c r="K120" i="31"/>
  <c r="C12" i="4" l="1"/>
  <c r="K99" i="31" l="1"/>
  <c r="K87" i="31"/>
  <c r="K47" i="31"/>
  <c r="I12" i="4"/>
  <c r="I17" i="4" s="1"/>
  <c r="M12" i="4"/>
  <c r="M17" i="4" s="1"/>
  <c r="K18" i="31"/>
  <c r="K70" i="31"/>
  <c r="K108" i="31"/>
  <c r="C17" i="4"/>
  <c r="C18" i="4" s="1"/>
  <c r="C14" i="4"/>
  <c r="K116" i="31"/>
  <c r="K12" i="4"/>
  <c r="K17" i="4" s="1"/>
  <c r="G12" i="4"/>
  <c r="G17" i="4" s="1"/>
  <c r="E12" i="4"/>
  <c r="H15" i="4" l="1"/>
  <c r="L15" i="4"/>
  <c r="E17" i="4"/>
  <c r="E18" i="4" s="1"/>
  <c r="G18" i="4" s="1"/>
  <c r="I18" i="4" s="1"/>
  <c r="K18" i="4" s="1"/>
  <c r="F15" i="4"/>
  <c r="J15" i="4"/>
  <c r="K109" i="31"/>
  <c r="P18" i="31"/>
  <c r="K40" i="31"/>
  <c r="K126" i="31"/>
  <c r="K65" i="31"/>
  <c r="K121" i="31"/>
  <c r="K56" i="31"/>
  <c r="K26" i="31"/>
  <c r="D15" i="4" l="1"/>
  <c r="D16" i="4" s="1"/>
  <c r="F16" i="4" s="1"/>
  <c r="H16" i="4" s="1"/>
  <c r="J16" i="4" s="1"/>
  <c r="L16" i="4" s="1"/>
  <c r="M18" i="4"/>
</calcChain>
</file>

<file path=xl/sharedStrings.xml><?xml version="1.0" encoding="utf-8"?>
<sst xmlns="http://schemas.openxmlformats.org/spreadsheetml/2006/main" count="983" uniqueCount="494">
  <si>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</si>
  <si>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</si>
  <si>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</si>
  <si>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</si>
  <si>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</si>
  <si>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</si>
  <si>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</si>
  <si>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</si>
  <si>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</si>
  <si>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</si>
  <si>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</si>
  <si>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</si>
  <si>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</si>
  <si>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</si>
  <si>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</si>
  <si>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</si>
  <si>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</si>
  <si>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2.2</t>
  </si>
  <si>
    <t>PREFEITO MUNICIPAL</t>
  </si>
  <si>
    <t>ALVENARIA</t>
  </si>
  <si>
    <t>COBERTURA</t>
  </si>
  <si>
    <t>REVESTIMENTOS DE PAREDES E TETOS</t>
  </si>
  <si>
    <t>ESQUADRIAS, FERRAGENS E VIDROS</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</si>
  <si>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</si>
  <si>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</si>
  <si>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</si>
  <si>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</si>
  <si>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</si>
  <si>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</si>
  <si>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</si>
  <si>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</si>
  <si>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</si>
  <si>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</si>
  <si>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</si>
  <si>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</si>
  <si>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</si>
  <si>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</si>
  <si>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</si>
  <si>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</si>
  <si>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</si>
  <si>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</si>
  <si>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</si>
  <si>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</si>
  <si>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2.5</t>
  </si>
  <si>
    <t>2.6</t>
  </si>
  <si>
    <t>DEMOLIÇÕES E RETIRADAS</t>
  </si>
  <si>
    <t>1.4</t>
  </si>
  <si>
    <t>CALCULO</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</si>
  <si>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</si>
  <si>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</si>
  <si>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</si>
  <si>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</si>
  <si>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</si>
  <si>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</si>
  <si>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</si>
  <si>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</si>
  <si>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</si>
  <si>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</si>
  <si>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</si>
  <si>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</si>
  <si>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</si>
  <si>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</si>
  <si>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</si>
  <si>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</si>
  <si>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</si>
  <si>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</si>
  <si>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</si>
  <si>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</si>
  <si>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</si>
  <si>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</si>
  <si>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</si>
  <si>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</si>
  <si>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</si>
  <si>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</si>
  <si>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</si>
  <si>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</si>
  <si>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</si>
  <si>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</si>
  <si>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</si>
  <si>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</si>
  <si>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</si>
  <si>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</si>
  <si>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</si>
  <si>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</si>
  <si>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</si>
  <si>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</si>
  <si>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</si>
  <si>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</si>
  <si>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</si>
  <si>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</si>
  <si>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</si>
  <si>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</si>
  <si>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</si>
  <si>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</si>
  <si>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</si>
  <si>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</si>
  <si>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</si>
  <si>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</si>
  <si>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</si>
  <si>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</si>
  <si>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</si>
  <si>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</si>
  <si>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</si>
  <si>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</si>
  <si>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</si>
  <si>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</si>
  <si>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</si>
  <si>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</si>
  <si>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</si>
  <si>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</si>
  <si>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</si>
  <si>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</si>
  <si>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</si>
  <si>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</si>
  <si>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</si>
  <si>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</si>
  <si>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</si>
  <si>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</si>
  <si>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</si>
  <si>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</si>
  <si>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</si>
  <si>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</si>
  <si>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</si>
  <si>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</si>
  <si>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</si>
  <si>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</si>
  <si>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</si>
  <si>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</si>
  <si>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</si>
  <si>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</si>
  <si>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</si>
  <si>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</si>
  <si>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</si>
  <si>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</si>
  <si>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</si>
  <si>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</si>
  <si>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</si>
  <si>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</si>
  <si>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</si>
  <si>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</si>
  <si>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</si>
  <si>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</si>
  <si>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</si>
  <si>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</si>
  <si>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</si>
  <si>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</si>
  <si>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</si>
  <si>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</si>
  <si>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</si>
  <si>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</si>
  <si>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</si>
  <si>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</si>
  <si>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</si>
  <si>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</si>
  <si>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</si>
  <si>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</si>
  <si>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</si>
  <si>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</si>
  <si>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</si>
  <si>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</si>
  <si>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</si>
  <si>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</si>
  <si>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</si>
  <si>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</si>
  <si>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</si>
  <si>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</si>
  <si>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</si>
  <si>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</si>
  <si>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</si>
  <si>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</si>
  <si>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</si>
  <si>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</si>
  <si>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</si>
  <si>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</si>
  <si>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</si>
  <si>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</si>
  <si>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</si>
  <si>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</si>
  <si>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</si>
  <si>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</si>
  <si>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</si>
  <si>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</si>
  <si>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</si>
  <si>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</si>
  <si>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</si>
  <si>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</si>
  <si>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</si>
  <si>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</si>
  <si>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</si>
  <si>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</si>
  <si>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</si>
  <si>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</si>
  <si>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</si>
  <si>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</si>
  <si>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</si>
  <si>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</si>
  <si>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</si>
  <si>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</si>
  <si>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</si>
  <si>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</si>
  <si>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</si>
  <si>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</si>
  <si>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</si>
  <si>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</si>
  <si>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</si>
  <si>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</si>
  <si>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</si>
  <si>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</si>
  <si>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</si>
  <si>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</si>
  <si>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</si>
  <si>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</si>
  <si>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</si>
  <si>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</si>
  <si>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2.2.1</t>
  </si>
  <si>
    <t>FACHADA / DENTISTA / GUICHES / COZINHA / SALAS DO FUNDO</t>
  </si>
  <si>
    <t>REFORMA</t>
  </si>
  <si>
    <t>2.5.2</t>
  </si>
  <si>
    <t>SALA DIRETORIA</t>
  </si>
  <si>
    <t>Subtotal 2.5=</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</si>
  <si>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</si>
  <si>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</si>
  <si>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</si>
  <si>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</si>
  <si>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</si>
  <si>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</si>
  <si>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</si>
  <si>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</si>
  <si>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</si>
  <si>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</si>
  <si>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 xml:space="preserve">50% DA PINTURA </t>
  </si>
  <si>
    <t>ÁREA DE MURO SEM CHAPISCO/REBOCO</t>
  </si>
  <si>
    <t>2,5 SEMANAS *  6 MESES DE OBRA</t>
  </si>
  <si>
    <t>BIBLIOTECA / BLOCO I / FACHADA</t>
  </si>
  <si>
    <t>% TOTAL</t>
  </si>
  <si>
    <t>PLACA DE OBRA EM CHAPA DE ACO GALVANIZADO</t>
  </si>
  <si>
    <t>2.6.1</t>
  </si>
  <si>
    <t>2.6.2</t>
  </si>
  <si>
    <t>4.1</t>
  </si>
  <si>
    <t>4.2</t>
  </si>
  <si>
    <t>5.1</t>
  </si>
  <si>
    <t>5.2</t>
  </si>
  <si>
    <t>Total 2.5=</t>
  </si>
  <si>
    <t>Total 2.6=</t>
  </si>
  <si>
    <t>Total 1.0=</t>
  </si>
  <si>
    <t>JOSÉ PAULO PALEARI</t>
  </si>
  <si>
    <t>NELSON CINTRA RIBEIRO</t>
  </si>
  <si>
    <t>EDERVAN GUSTAVO SPROTTE</t>
  </si>
  <si>
    <t>PREFEITURA MUNICIPAL DE NAVIRAÍ</t>
  </si>
  <si>
    <t>RHAIZA REJANE NEME DE MATOS</t>
  </si>
  <si>
    <t>Total  2.0=</t>
  </si>
  <si>
    <t>48,40M2*0.16</t>
  </si>
  <si>
    <t>48,40M2*0.17</t>
  </si>
  <si>
    <t>2.5.1</t>
  </si>
  <si>
    <t>3.0</t>
  </si>
  <si>
    <t>PLACA DE OBRA (PARA CONSTRUCAO CIVIL) EM CHAPA GALVANIZADA *N. 22*, ADESIVADA, DE *2,0 X 1,125* M</t>
  </si>
  <si>
    <t>COMPLEMENTARES</t>
  </si>
  <si>
    <t>Subtotal 3.0=</t>
  </si>
  <si>
    <t>Total  3.0=</t>
  </si>
  <si>
    <t>LOUÇAS, METAIS, ACESSÓRIOS E ACESSIBILIDADE</t>
  </si>
  <si>
    <t>COZINHA / DENTISTA</t>
  </si>
  <si>
    <t>WC PCD I / II</t>
  </si>
  <si>
    <t>CJ</t>
  </si>
  <si>
    <t>C04</t>
  </si>
  <si>
    <t>C05</t>
  </si>
  <si>
    <t>C06</t>
  </si>
  <si>
    <t>48,40M2*0.11</t>
  </si>
  <si>
    <t>48,40M2*0.12</t>
  </si>
  <si>
    <t>48,40M2*0.20</t>
  </si>
  <si>
    <t>3.1</t>
  </si>
  <si>
    <t>REMOÇÃO DE CHUVEIRO ELÉTRICO COMUM CORPO PLÁSTICO</t>
  </si>
  <si>
    <t>CMP 02</t>
  </si>
  <si>
    <t>CMP  01</t>
  </si>
  <si>
    <t>3.2</t>
  </si>
  <si>
    <t>M3</t>
  </si>
  <si>
    <t xml:space="preserve">INDICADO EM PROJETO </t>
  </si>
  <si>
    <t>MÊS 5</t>
  </si>
  <si>
    <t>ABRIGO PARA CENTRAL DE GLP EM ALVENARIA COM LAJE EM CONCRETO ARMADO - 2,001,00X2,00</t>
  </si>
  <si>
    <t>CMP 03</t>
  </si>
  <si>
    <t xml:space="preserve">PORTÃO EM TELA ARAME GALVANIZADO N.12 MALHA 2" E MOLDURA EM TUBOS DE AÇO COM DUAS FOLHAS DE ABRIR, INCLUSO FERRAGENS - FORNECIMENTO E INSTALAÇÃO </t>
  </si>
  <si>
    <t>CMP 04</t>
  </si>
  <si>
    <t>AV. PONTA PORÃ, 858 - NAVIRAÍ</t>
  </si>
  <si>
    <t>REFORMA CRECHE EVA MORAES DE OLIVEIRA</t>
  </si>
  <si>
    <t>2.1</t>
  </si>
  <si>
    <t>2.1.1</t>
  </si>
  <si>
    <t>2.1.1.1</t>
  </si>
  <si>
    <t>2.1.1.2</t>
  </si>
  <si>
    <t>2.1.2</t>
  </si>
  <si>
    <t>2.1.2.1</t>
  </si>
  <si>
    <t>2.1.2.2</t>
  </si>
  <si>
    <t>2.1.2.3</t>
  </si>
  <si>
    <t>2.1.2.4</t>
  </si>
  <si>
    <t>2.1.2.5</t>
  </si>
  <si>
    <t>2.1.2.6</t>
  </si>
  <si>
    <t>2.1.2.7</t>
  </si>
  <si>
    <t>2.1.2.9</t>
  </si>
  <si>
    <t>2.2.3</t>
  </si>
  <si>
    <t>2.2.4</t>
  </si>
  <si>
    <t>2.3</t>
  </si>
  <si>
    <t>2.3.1</t>
  </si>
  <si>
    <t>2.3.2</t>
  </si>
  <si>
    <t>2.3.3</t>
  </si>
  <si>
    <t>2.3.4</t>
  </si>
  <si>
    <t>2.4</t>
  </si>
  <si>
    <t>2.4.1</t>
  </si>
  <si>
    <t xml:space="preserve">LOUÇAS, METAIS, ACESSÓRIOS </t>
  </si>
  <si>
    <t>Subtotal  2.1.1=</t>
  </si>
  <si>
    <t>Total 2.1.1=</t>
  </si>
  <si>
    <t>Subtotal 2.1.2=</t>
  </si>
  <si>
    <t>Total 2.1.2=</t>
  </si>
  <si>
    <t>Subtotal 2.2=</t>
  </si>
  <si>
    <t>Total 2.2=</t>
  </si>
  <si>
    <t>Subtotal 2.3=</t>
  </si>
  <si>
    <t>Total 2.3=</t>
  </si>
  <si>
    <t>Subtotal 2.4=</t>
  </si>
  <si>
    <t>Total 2.4=</t>
  </si>
  <si>
    <t xml:space="preserve">BANHEIROS, SANITÁRIO FUNCIONÁRIOS, LAVANDERIA, COZINHA, SANITÁRIO E BANHO, LACTÁRIO </t>
  </si>
  <si>
    <t xml:space="preserve">SUBSTITUIÇÃO DE TELHADO </t>
  </si>
  <si>
    <t xml:space="preserve">QUEBRAS AO DEMOLIR ANTIGA CERÂMICA  </t>
  </si>
  <si>
    <t>BANHEIROS, SANITÁRIO FUNCIONÁRIOS, LAVANDERIA, COZINHA, LACTÁRIO  E SANITÁRIO E BANHO</t>
  </si>
  <si>
    <t>2.1.1.3</t>
  </si>
  <si>
    <t>48,40M2*0.13</t>
  </si>
  <si>
    <t>FORRO DE MADEIRA INDICADO EM PROJETO</t>
  </si>
  <si>
    <t>ESTRUTURA DE CONCRETO ARMADO</t>
  </si>
  <si>
    <t xml:space="preserve">REFORÇO ESTRUTURAL </t>
  </si>
  <si>
    <t>CMP 05</t>
  </si>
  <si>
    <t>REFORÇO ESTRUTURAL PARA ESTRURAS SOFRENDO RECALQUE DIFERENCIAL (BLOCO+PILAR)</t>
  </si>
  <si>
    <t>PORTAS</t>
  </si>
  <si>
    <t>JANELAS</t>
  </si>
  <si>
    <t>2.4.2</t>
  </si>
  <si>
    <t>2.4.3</t>
  </si>
  <si>
    <t>2.4.4</t>
  </si>
  <si>
    <t>2.4.5</t>
  </si>
  <si>
    <t>ACESSIBILIDADE</t>
  </si>
  <si>
    <t xml:space="preserve">BANHEIRO PNE </t>
  </si>
  <si>
    <t>REPARO- 40% (TOTAL: 1459,26M2)</t>
  </si>
  <si>
    <t>M</t>
  </si>
  <si>
    <t>RACHADURAS NAS SALAS INDICADAS</t>
  </si>
  <si>
    <t xml:space="preserve">REPARO- 40% (TOTAL: 1459,26M2) </t>
  </si>
  <si>
    <t>1.5</t>
  </si>
  <si>
    <t>1.6</t>
  </si>
  <si>
    <t>4*3</t>
  </si>
  <si>
    <t>4*4</t>
  </si>
  <si>
    <t>4*5</t>
  </si>
  <si>
    <t>2.1.2.8</t>
  </si>
  <si>
    <t xml:space="preserve">TELHADO </t>
  </si>
  <si>
    <t>2.3.5</t>
  </si>
  <si>
    <t>2.3.6</t>
  </si>
  <si>
    <t>PLATIBANDA</t>
  </si>
  <si>
    <t xml:space="preserve">FABIANO COSTA </t>
  </si>
  <si>
    <t>CAU - A30439-5</t>
  </si>
  <si>
    <t>FABIANO COSTA</t>
  </si>
  <si>
    <t>ARQUITETO</t>
  </si>
  <si>
    <t>A30439-5</t>
  </si>
  <si>
    <t>MAR/2021 DES.</t>
  </si>
  <si>
    <t>SBC: MAR/2021 DES.</t>
  </si>
  <si>
    <t>ENCARGOS SOCIAIS DESONERADOS: 83,00%(HORA) 46,50%(MÊS)</t>
  </si>
  <si>
    <t>PLACA DE INAUGURACAO METALICA COM DIMENSÃO *40* CM X *60* CM - INSTALAÇÃO E FORNECIMENTO</t>
  </si>
  <si>
    <t>CMP 06</t>
  </si>
  <si>
    <t>AGESUL: JAN/2021 DES.</t>
  </si>
  <si>
    <t xml:space="preserve">PLACA DE INAUGURAÇÃO </t>
  </si>
  <si>
    <t>3.4</t>
  </si>
  <si>
    <t>3.3</t>
  </si>
  <si>
    <t>2.6.2.1</t>
  </si>
  <si>
    <t>2.6.2.2</t>
  </si>
  <si>
    <t>2.6.2.3</t>
  </si>
  <si>
    <t>2.6.2.4</t>
  </si>
  <si>
    <t>2.6.2.5</t>
  </si>
  <si>
    <t>2.6.2.6</t>
  </si>
  <si>
    <t>2.6.2.7</t>
  </si>
  <si>
    <t>2.6.2.8</t>
  </si>
  <si>
    <t>2.6.2.9</t>
  </si>
  <si>
    <t>2.7</t>
  </si>
  <si>
    <t>2.7.1</t>
  </si>
  <si>
    <t>2.7.2</t>
  </si>
  <si>
    <t>2.7.3</t>
  </si>
  <si>
    <t>2.7.4</t>
  </si>
  <si>
    <t>2.7.5</t>
  </si>
  <si>
    <t>2.7.6</t>
  </si>
  <si>
    <t>Subtotal 2.7=</t>
  </si>
  <si>
    <t>Total 2.7=</t>
  </si>
  <si>
    <t>2.6.3</t>
  </si>
  <si>
    <t>2.6.4</t>
  </si>
  <si>
    <t>2.6.5</t>
  </si>
  <si>
    <t>2.6.6</t>
  </si>
  <si>
    <t>2.6.7</t>
  </si>
  <si>
    <t>2.6.8</t>
  </si>
  <si>
    <t>2.6.9</t>
  </si>
  <si>
    <t>2.6.10</t>
  </si>
  <si>
    <t>2.6.11</t>
  </si>
  <si>
    <t>2.6.12</t>
  </si>
  <si>
    <t>2.6.13</t>
  </si>
  <si>
    <t>2.1.2.11</t>
  </si>
  <si>
    <t>2.1.2.12</t>
  </si>
  <si>
    <t>DEPÓSITO - INDICADO EM PROJETO</t>
  </si>
  <si>
    <t>SUBSTITUIÇÃO DE FORRO DE MADEIRA POR FORRO DE PVC E REPAROS EM FORRO DE PVC</t>
  </si>
  <si>
    <t>2.4.6</t>
  </si>
  <si>
    <t xml:space="preserve">PORTAS, PORTÕES E ESQUADRIAS </t>
  </si>
  <si>
    <t>SINAPI: MAI/2021 DES.</t>
  </si>
  <si>
    <t>REPARO- 70% (TOTAL: 1863,26M2)</t>
  </si>
  <si>
    <t>5 MESES * 6 HORAS *1VEZ POR SEMANA * 4 SEMANAS</t>
  </si>
  <si>
    <t>01.COBE.ETMM.104/01</t>
  </si>
  <si>
    <t>92592</t>
  </si>
  <si>
    <t>FABRICAÇÃO E INSTALAÇÃO DE TESOURA INTEIRA EM AÇO, VÃO DE 8 M, PARA TELHA CERÂMICA OU DE CONCRETO, INCLUSO IÇAMENTO. AF_12/2015</t>
  </si>
  <si>
    <t/>
  </si>
  <si>
    <t>Estrutura e Trama para cobertura</t>
  </si>
  <si>
    <t>INSUMO</t>
  </si>
  <si>
    <t>4777</t>
  </si>
  <si>
    <t>CANTONEIRA ACO ABAS IGUAIS (QUALQUER BITOLA), ESPESSURA ENTRE 1/8" E 1/4"</t>
  </si>
  <si>
    <t>KG</t>
  </si>
  <si>
    <t>38,6000000</t>
  </si>
  <si>
    <t>10997</t>
  </si>
  <si>
    <t>ELETRODO REVESTIDO AWS - E7018, DIAMETRO IGUAL A 4,00 MM</t>
  </si>
  <si>
    <t>0,3780000</t>
  </si>
  <si>
    <t>40598</t>
  </si>
  <si>
    <t>PERFIL UDC ("U" DOBRADO DE CHAPA) SIMPLES DE ACO LAMINADO, GALVANIZADO, ASTM A36, 127 X 50 MM, E= 3 MM</t>
  </si>
  <si>
    <t>92,3400000</t>
  </si>
  <si>
    <t>COMPOSICAO</t>
  </si>
  <si>
    <t>88278</t>
  </si>
  <si>
    <t>MONTADOR DE ESTRUTURA METÁLICA COM ENCARGOS COMPLEMENTARES</t>
  </si>
  <si>
    <t>H</t>
  </si>
  <si>
    <t>2,1330000</t>
  </si>
  <si>
    <t>88316</t>
  </si>
  <si>
    <t>SERVENTE COM ENCARGOS COMPLEMENTARES</t>
  </si>
  <si>
    <t>0,4920000</t>
  </si>
  <si>
    <t>92257</t>
  </si>
  <si>
    <t>INSTALAÇÃO DE TESOURA (INTEIRA OU MEIA), EM AÇO, PARA VÃOS MAIORES OU IGUAIS A 8,0 M E MENORES QUE 10,0 M, INCLUSO IÇAMENTO. AF_07/2019</t>
  </si>
  <si>
    <t>1,0000000</t>
  </si>
  <si>
    <t>REPARO- 80% (TOTAL: 859,59M2)</t>
  </si>
  <si>
    <t>5 MESES * 8 HORAS *2 VEZ POR SEMANA * 4 SEMANAS</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</si>
  <si>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</si>
  <si>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</si>
  <si>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</si>
  <si>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</si>
  <si>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</si>
  <si>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</si>
  <si>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</si>
  <si>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</si>
  <si>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</si>
  <si>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</si>
  <si>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</si>
  <si>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</si>
  <si>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</si>
  <si>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</si>
  <si>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</si>
  <si>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</si>
  <si>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</si>
  <si>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</si>
  <si>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</si>
  <si>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</si>
  <si>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</si>
  <si>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</si>
  <si>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</si>
  <si>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</si>
  <si>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</si>
  <si>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</si>
  <si>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</si>
  <si>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</si>
  <si>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</si>
  <si>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</si>
  <si>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</si>
  <si>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</si>
  <si>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</si>
  <si>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</si>
  <si>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</si>
  <si>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</si>
  <si>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</si>
  <si>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</si>
  <si>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</si>
  <si>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</si>
  <si>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</si>
  <si>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</si>
  <si>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</si>
  <si>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</si>
  <si>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</si>
  <si>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</si>
  <si>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</si>
  <si>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</si>
  <si>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</si>
  <si>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</si>
  <si>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</si>
  <si>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</si>
  <si>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</si>
  <si>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</si>
  <si>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</si>
  <si>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</si>
  <si>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</si>
  <si>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</si>
  <si>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</si>
  <si>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</si>
  <si>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BDI: 28,82%</t>
  </si>
  <si>
    <t>PLANILHA RESUMO</t>
  </si>
  <si>
    <t>VALOR TOTAL S/ DESONERAÇÃO</t>
  </si>
  <si>
    <t>TOTAL 2.0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</si>
</sst>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_-&quot;R$&quot;\ * #,##0.00_-;\-&quot;R$&quot;\ * #,##0.00_-;_-&quot;R$&quot;\ * &quot;-&quot;??_-;_-@_-"/>
    <numFmt numFmtId="165" formatCode="_-* #,##0.00_-;\-* #,##0.00_-;_-* &quot;-&quot;??_-;_-@_-"/>
    <numFmt numFmtId="166" formatCode="_-* #,##0.00_-;\-* #,##0.00_-;_-* &quot;-&quot;??_-;_-@"/>
    <numFmt numFmtId="167" formatCode="_(* #,##0.00_);_(* \(#,##0.00\);_(* &quot;-&quot;??_);_(@_)"/>
    <numFmt numFmtId="168" formatCode="#,##0.00;[Red]#,##0.00"/>
    <numFmt numFmtId="169" formatCode="[$-F800]dddd\,\ mmmm\ dd\,\ yyyy"/>
    <numFmt numFmtId="170" formatCode="#,##0.0000;[Red]#,##0.0000"/>
    <numFmt numFmtId="171" formatCode="0.000"/>
    <numFmt numFmtId="172" formatCode="0.0%"/>
    <numFmt numFmtId="173" formatCode="_(* #,##0.000_);_(* \(#,##0.000\);_(* &quot;-&quot;??_);_(@_)"/>
    <numFmt numFmtId="174" formatCode="#,##0.0;[Red]#,##0.0"/>
    <numFmt numFmtId="175" formatCode="#,##0.00_ ;\-#,##0.00\ "/>
    <numFmt numFmtId="176" formatCode="0.000%"/>
  </numFmts>
  <fonts count="86">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sz val="10"/>
      <color theme="0" tint="-0.499984740745262"/>
      <name val="Cambria"/>
      <family val="1"/>
    </font>
    <font>
      <sz val="10"/>
      <color theme="0" tint="-0.499984740745262"/>
      <name val="Arial"/>
      <family val="2"/>
    </font>
    <font>
      <b/>
      <sz val="10"/>
      <color theme="0" tint="-0.499984740745262"/>
      <name val="Arial"/>
      <family val="2"/>
    </font>
    <font>
      <sz val="10"/>
      <color theme="5"/>
      <name val="Cambria"/>
      <family val="1"/>
    </font>
    <font>
      <sz val="10"/>
      <color theme="5"/>
      <name val="Arial"/>
      <family val="2"/>
    </font>
    <font>
      <sz val="10"/>
      <color theme="0" tint="-0.249977111117893"/>
      <name val="Cambria"/>
      <family val="1"/>
    </font>
    <font>
      <sz val="10"/>
      <color rgb="FF000000"/>
      <name val="Arial"/>
      <family val="2"/>
    </font>
    <font>
      <sz val="8"/>
      <name val="Arial"/>
      <family val="2"/>
    </font>
    <font>
      <sz val="10"/>
      <color rgb="FF000000"/>
      <name val="Arial"/>
      <family val="2"/>
    </font>
    <font>
      <sz val="10"/>
      <color theme="7" tint="-0.499984740745262"/>
      <name val="Cambria"/>
      <family val="1"/>
    </font>
    <font>
      <b/>
      <sz val="10"/>
      <color theme="7" tint="-0.499984740745262"/>
      <name val="Cambria"/>
      <family val="1"/>
    </font>
    <font>
      <sz val="10"/>
      <color theme="7" tint="-0.499984740745262"/>
      <name val="Arial"/>
      <family val="2"/>
    </font>
    <font>
      <b/>
      <sz val="10"/>
      <color theme="7" tint="-0.499984740745262"/>
      <name val="Arial"/>
      <family val="2"/>
    </font>
    <font>
      <sz val="11"/>
      <color rgb="FF000000"/>
      <name val="Calibri"/>
      <family val="2"/>
    </font>
    <font>
      <sz val="8"/>
      <color indexed="8"/>
      <name val="Courier"/>
      <family val="3"/>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b/>
      <sz val="11"/>
      <color rgb="FF000000"/>
      <name val="Cambria"/>
      <family val="1"/>
    </font>
  </fonts>
  <fills count="14">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9"/>
        <bgColor indexed="8"/>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94">
    <border>
      <left/>
      <right/>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hair">
        <color rgb="FF000000"/>
      </left>
      <right style="hair">
        <color rgb="FF000000"/>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style="thin">
        <color rgb="FF000000"/>
      </top>
      <bottom style="thin">
        <color indexed="64"/>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thin">
        <color rgb="FF000000"/>
      </right>
      <top/>
      <bottom/>
      <diagonal/>
    </border>
    <border>
      <left/>
      <right style="thin">
        <color indexed="64"/>
      </right>
      <top style="hair">
        <color indexed="8"/>
      </top>
      <bottom style="hair">
        <color indexed="8"/>
      </bottom>
      <diagonal/>
    </border>
    <border>
      <left style="hair">
        <color indexed="8"/>
      </left>
      <right style="thin">
        <color indexed="64"/>
      </right>
      <top style="hair">
        <color indexed="8"/>
      </top>
      <bottom style="thin">
        <color indexed="64"/>
      </bottom>
      <diagonal/>
    </border>
    <border>
      <left style="thin">
        <color indexed="64"/>
      </left>
      <right style="thin">
        <color indexed="64"/>
      </right>
      <top/>
      <bottom style="hair">
        <color indexed="64"/>
      </bottom>
      <diagonal/>
    </border>
    <border>
      <left style="thin">
        <color auto="1"/>
      </left>
      <right/>
      <top style="hair">
        <color auto="1"/>
      </top>
      <bottom/>
      <diagonal/>
    </border>
    <border>
      <left/>
      <right/>
      <top style="hair">
        <color indexed="64"/>
      </top>
      <bottom/>
      <diagonal/>
    </border>
    <border>
      <left/>
      <right style="thin">
        <color auto="1"/>
      </right>
      <top style="hair">
        <color auto="1"/>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indexed="64"/>
      </right>
      <top style="hair">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238">
    <xf numFmtId="0" fontId="0" fillId="0" borderId="0"/>
    <xf numFmtId="0" fontId="2" fillId="0" borderId="1"/>
    <xf numFmtId="164" fontId="35" fillId="0" borderId="0" applyFont="0" applyFill="0" applyBorder="0" applyAlignment="0" applyProtection="0"/>
    <xf numFmtId="9" fontId="44" fillId="0" borderId="0" applyFont="0" applyFill="0" applyBorder="0" applyAlignment="0" applyProtection="0"/>
    <xf numFmtId="0" fontId="2" fillId="0" borderId="1"/>
    <xf numFmtId="0" fontId="15" fillId="0" borderId="1"/>
    <xf numFmtId="164" fontId="15" fillId="0" borderId="1" applyFont="0" applyFill="0" applyBorder="0" applyAlignment="0" applyProtection="0"/>
    <xf numFmtId="9" fontId="15" fillId="0" borderId="1" applyFont="0" applyFill="0" applyBorder="0" applyAlignment="0" applyProtection="0"/>
    <xf numFmtId="0" fontId="15" fillId="0" borderId="1"/>
    <xf numFmtId="0" fontId="61"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0" fontId="63" fillId="0" borderId="1"/>
    <xf numFmtId="0" fontId="63" fillId="0" borderId="1"/>
    <xf numFmtId="164" fontId="15" fillId="0" borderId="1" applyFont="0" applyFill="0" applyBorder="0" applyAlignment="0" applyProtection="0"/>
    <xf numFmtId="0" fontId="63" fillId="0" borderId="1"/>
    <xf numFmtId="0" fontId="63" fillId="0" borderId="1"/>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4" fontId="15" fillId="0" borderId="1" applyFont="0" applyFill="0" applyBorder="0" applyAlignment="0" applyProtection="0"/>
    <xf numFmtId="0" fontId="63" fillId="0" borderId="1"/>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0" fontId="15" fillId="0" borderId="1"/>
    <xf numFmtId="0" fontId="15" fillId="0" borderId="1"/>
    <xf numFmtId="0" fontId="15" fillId="0" borderId="1"/>
    <xf numFmtId="0" fontId="15" fillId="0" borderId="1"/>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4" fontId="15" fillId="0" borderId="1" applyFont="0" applyFill="0" applyBorder="0" applyAlignment="0" applyProtection="0"/>
    <xf numFmtId="0" fontId="15" fillId="0" borderId="1"/>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5"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164" fontId="15" fillId="0" borderId="1" applyFont="0" applyFill="0" applyBorder="0" applyAlignment="0" applyProtection="0"/>
    <xf numFmtId="0" fontId="15" fillId="0" borderId="1"/>
    <xf numFmtId="0" fontId="15" fillId="0" borderId="1"/>
    <xf numFmtId="164" fontId="15" fillId="0" borderId="1" applyFont="0" applyFill="0" applyBorder="0" applyAlignment="0" applyProtection="0"/>
    <xf numFmtId="0" fontId="68" fillId="0" borderId="1"/>
    <xf numFmtId="0" fontId="70" fillId="0" borderId="1"/>
    <xf numFmtId="165" fontId="2" fillId="0" borderId="1" applyFont="0" applyFill="0" applyBorder="0" applyAlignment="0" applyProtection="0"/>
    <xf numFmtId="9" fontId="2" fillId="0" borderId="1" applyFont="0" applyFill="0" applyBorder="0" applyAlignment="0" applyProtection="0"/>
  </cellStyleXfs>
  <cellXfs count="1063">
    <xf numFmtId="0" fontId="0" fillId="0" borderId="0" xfId="0" applyFont="1" applyAlignment="1"/>
    <xf numFmtId="0" fontId="5" fillId="0" borderId="0" xfId="0" applyFont="1"/>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1" xfId="0" applyNumberFormat="1" applyFont="1" applyBorder="1" applyAlignment="1">
      <alignment horizontal="center" vertical="center"/>
    </xf>
    <xf numFmtId="0" fontId="7" fillId="0" borderId="1" xfId="0" applyFont="1" applyBorder="1"/>
    <xf numFmtId="0" fontId="5" fillId="0" borderId="1" xfId="0" applyFont="1" applyBorder="1"/>
    <xf numFmtId="0" fontId="10" fillId="0" borderId="1" xfId="0" applyFont="1" applyBorder="1" applyAlignment="1">
      <alignment vertical="center" wrapText="1"/>
    </xf>
    <xf numFmtId="0" fontId="7" fillId="0" borderId="1" xfId="0" applyFont="1" applyBorder="1" applyAlignment="1">
      <alignment wrapText="1"/>
    </xf>
    <xf numFmtId="0" fontId="11" fillId="0" borderId="1" xfId="0" applyFont="1" applyBorder="1"/>
    <xf numFmtId="0" fontId="0" fillId="0" borderId="0" xfId="0" applyFont="1" applyAlignment="1"/>
    <xf numFmtId="0" fontId="7" fillId="0" borderId="13" xfId="0" applyFont="1" applyBorder="1" applyAlignment="1">
      <alignment horizontal="left" vertical="center" wrapText="1"/>
    </xf>
    <xf numFmtId="0" fontId="7" fillId="0" borderId="13" xfId="0" applyFont="1" applyBorder="1" applyAlignment="1">
      <alignment horizontal="center" vertical="center" wrapText="1"/>
    </xf>
    <xf numFmtId="0" fontId="7" fillId="0" borderId="1" xfId="0" applyFont="1" applyBorder="1" applyAlignment="1">
      <alignment vertical="center"/>
    </xf>
    <xf numFmtId="4" fontId="2" fillId="0" borderId="0" xfId="0" applyNumberFormat="1" applyFont="1"/>
    <xf numFmtId="49" fontId="7" fillId="0" borderId="1" xfId="0" applyNumberFormat="1" applyFont="1" applyBorder="1" applyAlignment="1">
      <alignment horizontal="center" vertical="center" wrapText="1"/>
    </xf>
    <xf numFmtId="0" fontId="5" fillId="0" borderId="7" xfId="0" applyFont="1" applyBorder="1" applyAlignment="1"/>
    <xf numFmtId="0" fontId="7" fillId="0" borderId="1" xfId="0" applyFont="1" applyBorder="1" applyAlignment="1"/>
    <xf numFmtId="0" fontId="5" fillId="0" borderId="9" xfId="0" applyFont="1" applyBorder="1" applyAlignment="1"/>
    <xf numFmtId="0" fontId="5" fillId="0" borderId="1" xfId="0" applyFont="1" applyBorder="1" applyAlignment="1"/>
    <xf numFmtId="0" fontId="18" fillId="0" borderId="4" xfId="0" applyFont="1" applyBorder="1" applyAlignment="1">
      <alignment vertical="center"/>
    </xf>
    <xf numFmtId="0" fontId="18" fillId="0" borderId="5" xfId="0" applyFont="1" applyBorder="1" applyAlignment="1">
      <alignment vertical="center"/>
    </xf>
    <xf numFmtId="0" fontId="18" fillId="0" borderId="1" xfId="0" applyFont="1" applyBorder="1" applyAlignment="1">
      <alignment vertical="center"/>
    </xf>
    <xf numFmtId="0" fontId="19" fillId="0" borderId="1" xfId="0" applyFont="1" applyBorder="1" applyAlignment="1"/>
    <xf numFmtId="0" fontId="18" fillId="0" borderId="1" xfId="0" applyFont="1" applyBorder="1" applyAlignment="1">
      <alignment horizontal="right" vertical="center" wrapText="1"/>
    </xf>
    <xf numFmtId="0" fontId="18" fillId="0" borderId="8" xfId="0" applyFont="1" applyBorder="1" applyAlignment="1">
      <alignment horizontal="right" vertical="center" wrapText="1"/>
    </xf>
    <xf numFmtId="0" fontId="7" fillId="0" borderId="7" xfId="0" applyFont="1" applyFill="1" applyBorder="1"/>
    <xf numFmtId="167" fontId="7" fillId="0" borderId="1" xfId="0" applyNumberFormat="1" applyFont="1" applyBorder="1"/>
    <xf numFmtId="167" fontId="7" fillId="0" borderId="8" xfId="0" applyNumberFormat="1" applyFont="1" applyBorder="1"/>
    <xf numFmtId="0" fontId="5" fillId="0" borderId="8" xfId="0" applyFont="1" applyBorder="1"/>
    <xf numFmtId="0" fontId="18" fillId="0" borderId="6" xfId="0" applyFont="1" applyBorder="1" applyAlignment="1">
      <alignment vertical="center"/>
    </xf>
    <xf numFmtId="0" fontId="15" fillId="0" borderId="0" xfId="0" applyFont="1" applyAlignment="1"/>
    <xf numFmtId="0" fontId="0" fillId="0" borderId="1" xfId="0" applyFont="1" applyBorder="1" applyAlignment="1"/>
    <xf numFmtId="0" fontId="23" fillId="0" borderId="0" xfId="0" applyFont="1" applyAlignment="1">
      <alignment horizontal="center" vertical="center"/>
    </xf>
    <xf numFmtId="0" fontId="24" fillId="0" borderId="0" xfId="0" applyFont="1" applyAlignment="1"/>
    <xf numFmtId="0" fontId="23" fillId="0" borderId="0" xfId="0" applyFont="1" applyAlignment="1">
      <alignment horizontal="center" vertical="center" wrapText="1"/>
    </xf>
    <xf numFmtId="0" fontId="23" fillId="0" borderId="0" xfId="0" applyFont="1" applyAlignment="1">
      <alignment horizontal="left" vertical="center"/>
    </xf>
    <xf numFmtId="2" fontId="23" fillId="0" borderId="0" xfId="0" applyNumberFormat="1" applyFont="1" applyAlignment="1">
      <alignment horizontal="center" vertical="center"/>
    </xf>
    <xf numFmtId="2" fontId="0" fillId="0" borderId="0" xfId="0" applyNumberFormat="1" applyFont="1" applyAlignment="1"/>
    <xf numFmtId="0" fontId="23" fillId="0" borderId="0" xfId="0" applyFont="1" applyAlignment="1">
      <alignment vertical="center"/>
    </xf>
    <xf numFmtId="0" fontId="23" fillId="0" borderId="0" xfId="0" applyFont="1" applyAlignment="1">
      <alignment vertical="center" wrapText="1"/>
    </xf>
    <xf numFmtId="0" fontId="25" fillId="0" borderId="1" xfId="0" applyFont="1" applyFill="1" applyBorder="1" applyAlignment="1"/>
    <xf numFmtId="49" fontId="17" fillId="0" borderId="1" xfId="0" applyNumberFormat="1" applyFont="1" applyFill="1" applyBorder="1" applyAlignment="1">
      <alignment vertical="center"/>
    </xf>
    <xf numFmtId="0" fontId="23" fillId="0" borderId="1" xfId="0" applyFont="1" applyBorder="1" applyAlignment="1"/>
    <xf numFmtId="49" fontId="7" fillId="0" borderId="1" xfId="0" applyNumberFormat="1" applyFont="1" applyBorder="1" applyAlignment="1">
      <alignment vertical="center" wrapText="1"/>
    </xf>
    <xf numFmtId="0" fontId="24" fillId="0" borderId="1" xfId="0" applyFont="1" applyBorder="1" applyAlignment="1">
      <alignment horizontal="center" vertical="center"/>
    </xf>
    <xf numFmtId="0" fontId="27" fillId="0" borderId="0" xfId="0" applyFont="1" applyAlignment="1"/>
    <xf numFmtId="0" fontId="27" fillId="0" borderId="2" xfId="0" applyFont="1" applyBorder="1" applyAlignment="1"/>
    <xf numFmtId="0" fontId="28" fillId="0" borderId="2" xfId="0" applyFont="1" applyBorder="1" applyAlignment="1">
      <alignment horizontal="center" vertical="center"/>
    </xf>
    <xf numFmtId="2" fontId="28" fillId="0" borderId="2" xfId="0" applyNumberFormat="1" applyFont="1" applyBorder="1" applyAlignment="1">
      <alignment horizontal="center" vertical="center"/>
    </xf>
    <xf numFmtId="0" fontId="27" fillId="0" borderId="2" xfId="0" applyFont="1" applyBorder="1" applyAlignment="1">
      <alignment horizontal="left" vertical="center" wrapText="1"/>
    </xf>
    <xf numFmtId="0" fontId="27" fillId="0" borderId="2" xfId="0" applyFont="1" applyBorder="1" applyAlignment="1">
      <alignment vertical="center"/>
    </xf>
    <xf numFmtId="0" fontId="27" fillId="0" borderId="2" xfId="0" applyFont="1" applyBorder="1" applyAlignment="1">
      <alignment wrapText="1"/>
    </xf>
    <xf numFmtId="0" fontId="27" fillId="0" borderId="2" xfId="0" applyFont="1" applyBorder="1" applyAlignment="1">
      <alignment horizontal="left" vertical="center"/>
    </xf>
    <xf numFmtId="0" fontId="27" fillId="0" borderId="2" xfId="0" applyFont="1" applyBorder="1" applyAlignment="1">
      <alignment horizontal="right"/>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2" fontId="27" fillId="0" borderId="2" xfId="0" applyNumberFormat="1" applyFont="1" applyBorder="1" applyAlignment="1"/>
    <xf numFmtId="0" fontId="27" fillId="5" borderId="2" xfId="0" applyFont="1" applyFill="1" applyBorder="1" applyAlignment="1"/>
    <xf numFmtId="0" fontId="27" fillId="5" borderId="2" xfId="0" applyFont="1" applyFill="1" applyBorder="1" applyAlignment="1">
      <alignment horizontal="center"/>
    </xf>
    <xf numFmtId="0" fontId="27" fillId="5" borderId="2" xfId="0" applyFont="1" applyFill="1" applyBorder="1" applyAlignment="1">
      <alignment horizontal="center" vertical="center"/>
    </xf>
    <xf numFmtId="0" fontId="27" fillId="0" borderId="2" xfId="0" applyFont="1" applyBorder="1" applyAlignment="1">
      <alignment horizontal="left" vertical="top"/>
    </xf>
    <xf numFmtId="0" fontId="27" fillId="5" borderId="25" xfId="0" applyFont="1" applyFill="1" applyBorder="1" applyAlignment="1"/>
    <xf numFmtId="0" fontId="27" fillId="5" borderId="26" xfId="0" applyFont="1" applyFill="1" applyBorder="1" applyAlignment="1">
      <alignment horizontal="center" vertical="center"/>
    </xf>
    <xf numFmtId="0" fontId="27" fillId="0" borderId="25" xfId="0" applyFont="1" applyBorder="1" applyAlignment="1"/>
    <xf numFmtId="0" fontId="28" fillId="0" borderId="26" xfId="0" applyFont="1" applyBorder="1" applyAlignment="1">
      <alignment horizontal="center" vertical="center"/>
    </xf>
    <xf numFmtId="0" fontId="27" fillId="0" borderId="25" xfId="0" applyFont="1" applyBorder="1" applyAlignment="1">
      <alignment horizontal="left" vertical="center"/>
    </xf>
    <xf numFmtId="0" fontId="27" fillId="0" borderId="25" xfId="0" applyFont="1" applyBorder="1" applyAlignment="1">
      <alignment vertical="center"/>
    </xf>
    <xf numFmtId="0" fontId="27" fillId="0" borderId="25" xfId="0" applyFont="1" applyBorder="1" applyAlignment="1">
      <alignment horizontal="left" vertical="center" wrapText="1"/>
    </xf>
    <xf numFmtId="0" fontId="27" fillId="0" borderId="25" xfId="0" applyFont="1" applyBorder="1" applyAlignment="1">
      <alignment wrapText="1"/>
    </xf>
    <xf numFmtId="2" fontId="29" fillId="0" borderId="2" xfId="0" applyNumberFormat="1" applyFont="1" applyBorder="1" applyAlignment="1">
      <alignment horizontal="center" vertical="center"/>
    </xf>
    <xf numFmtId="0" fontId="29" fillId="0" borderId="25" xfId="0" applyFont="1" applyBorder="1" applyAlignment="1">
      <alignment horizontal="right"/>
    </xf>
    <xf numFmtId="0" fontId="29" fillId="0" borderId="26" xfId="0" applyFont="1" applyBorder="1" applyAlignment="1">
      <alignment horizontal="center" vertical="center"/>
    </xf>
    <xf numFmtId="0" fontId="30" fillId="5" borderId="2" xfId="0" applyFont="1" applyFill="1" applyBorder="1" applyAlignment="1">
      <alignment horizontal="center" vertical="center"/>
    </xf>
    <xf numFmtId="2" fontId="29" fillId="0" borderId="2" xfId="0" applyNumberFormat="1" applyFont="1" applyBorder="1" applyAlignment="1">
      <alignment horizontal="center"/>
    </xf>
    <xf numFmtId="0" fontId="27"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28" fillId="0" borderId="1" xfId="0" applyFont="1" applyFill="1" applyBorder="1" applyAlignment="1">
      <alignment horizontal="center" vertical="center"/>
    </xf>
    <xf numFmtId="2" fontId="28" fillId="0" borderId="1" xfId="0" applyNumberFormat="1" applyFont="1" applyFill="1" applyBorder="1" applyAlignment="1">
      <alignment horizontal="center" vertical="center"/>
    </xf>
    <xf numFmtId="0" fontId="27" fillId="0" borderId="1" xfId="0" applyFont="1" applyFill="1" applyBorder="1" applyAlignment="1">
      <alignment vertical="center"/>
    </xf>
    <xf numFmtId="2" fontId="29" fillId="0" borderId="1" xfId="0" applyNumberFormat="1" applyFont="1" applyFill="1" applyBorder="1" applyAlignment="1">
      <alignment horizontal="center" vertical="center"/>
    </xf>
    <xf numFmtId="0" fontId="0" fillId="0" borderId="0" xfId="0" applyFont="1" applyFill="1" applyAlignment="1"/>
    <xf numFmtId="0" fontId="27" fillId="0" borderId="28" xfId="0" applyFont="1" applyFill="1" applyBorder="1" applyAlignment="1"/>
    <xf numFmtId="0" fontId="31" fillId="0" borderId="25" xfId="0" applyFont="1" applyBorder="1" applyAlignment="1"/>
    <xf numFmtId="0" fontId="31" fillId="0" borderId="25" xfId="0" applyFont="1" applyBorder="1" applyAlignment="1">
      <alignment vertical="center"/>
    </xf>
    <xf numFmtId="0" fontId="27" fillId="0" borderId="24" xfId="0" applyFont="1" applyBorder="1" applyAlignment="1">
      <alignment horizontal="right"/>
    </xf>
    <xf numFmtId="0" fontId="27" fillId="0" borderId="22" xfId="0" applyFont="1" applyBorder="1" applyAlignment="1">
      <alignment horizontal="right"/>
    </xf>
    <xf numFmtId="2" fontId="27" fillId="0" borderId="27" xfId="0" applyNumberFormat="1" applyFont="1" applyBorder="1" applyAlignment="1">
      <alignment horizontal="center" vertical="center"/>
    </xf>
    <xf numFmtId="0" fontId="5" fillId="0" borderId="0" xfId="0" applyFont="1" applyAlignment="1"/>
    <xf numFmtId="0" fontId="27" fillId="5" borderId="1" xfId="0" applyFont="1" applyFill="1" applyBorder="1" applyAlignment="1">
      <alignment vertical="center"/>
    </xf>
    <xf numFmtId="0" fontId="27" fillId="0" borderId="2" xfId="0" applyFont="1" applyFill="1" applyBorder="1" applyAlignment="1">
      <alignment horizontal="center"/>
    </xf>
    <xf numFmtId="0" fontId="28" fillId="0" borderId="2" xfId="0" applyFont="1" applyFill="1" applyBorder="1" applyAlignment="1">
      <alignment horizontal="center" vertical="center"/>
    </xf>
    <xf numFmtId="0" fontId="28" fillId="0" borderId="1" xfId="0" applyFont="1" applyBorder="1" applyAlignment="1">
      <alignment horizontal="center" vertical="center"/>
    </xf>
    <xf numFmtId="0" fontId="28" fillId="0" borderId="2" xfId="0" applyFont="1" applyFill="1" applyBorder="1" applyAlignment="1">
      <alignment horizontal="center"/>
    </xf>
    <xf numFmtId="0" fontId="27" fillId="0" borderId="30" xfId="0" applyFont="1" applyFill="1" applyBorder="1" applyAlignment="1"/>
    <xf numFmtId="2" fontId="29" fillId="0" borderId="26" xfId="0" applyNumberFormat="1" applyFont="1" applyBorder="1" applyAlignment="1">
      <alignment horizontal="center" vertical="center"/>
    </xf>
    <xf numFmtId="2" fontId="27" fillId="0" borderId="1" xfId="0" applyNumberFormat="1" applyFont="1" applyFill="1" applyBorder="1" applyAlignment="1">
      <alignment horizontal="center" vertical="center"/>
    </xf>
    <xf numFmtId="0" fontId="10" fillId="0" borderId="0" xfId="0" applyFont="1"/>
    <xf numFmtId="0" fontId="10" fillId="0" borderId="1" xfId="0" applyFont="1" applyBorder="1"/>
    <xf numFmtId="0" fontId="1" fillId="0" borderId="1" xfId="0" applyNumberFormat="1" applyFont="1" applyBorder="1" applyAlignment="1">
      <alignment horizontal="left"/>
    </xf>
    <xf numFmtId="0" fontId="1" fillId="0" borderId="8" xfId="0" applyNumberFormat="1" applyFont="1" applyBorder="1" applyAlignment="1">
      <alignment horizontal="left"/>
    </xf>
    <xf numFmtId="0" fontId="5" fillId="0" borderId="8" xfId="0" applyFont="1" applyBorder="1" applyAlignment="1"/>
    <xf numFmtId="0" fontId="18" fillId="0" borderId="1" xfId="0" applyFont="1" applyFill="1" applyBorder="1" applyAlignment="1"/>
    <xf numFmtId="0" fontId="18" fillId="0" borderId="1" xfId="0" applyFont="1" applyFill="1" applyBorder="1" applyAlignment="1">
      <alignment vertical="center"/>
    </xf>
    <xf numFmtId="0" fontId="18" fillId="0" borderId="1" xfId="0" applyFont="1" applyBorder="1" applyAlignment="1">
      <alignment wrapText="1"/>
    </xf>
    <xf numFmtId="0" fontId="1" fillId="0" borderId="1" xfId="0" applyFont="1" applyFill="1" applyBorder="1" applyAlignment="1">
      <alignment horizontal="center" vertical="center"/>
    </xf>
    <xf numFmtId="0" fontId="5" fillId="0" borderId="10" xfId="0" applyFont="1" applyBorder="1" applyAlignment="1"/>
    <xf numFmtId="0" fontId="5" fillId="0" borderId="11" xfId="0" applyFont="1" applyBorder="1" applyAlignment="1"/>
    <xf numFmtId="0" fontId="5" fillId="0" borderId="0" xfId="0" applyFont="1" applyAlignment="1">
      <alignment horizontal="center"/>
    </xf>
    <xf numFmtId="0" fontId="12" fillId="0" borderId="1" xfId="0" applyFont="1" applyFill="1" applyBorder="1" applyAlignment="1">
      <alignment horizontal="left"/>
    </xf>
    <xf numFmtId="0" fontId="7" fillId="0" borderId="5" xfId="0" applyFont="1" applyBorder="1" applyAlignment="1"/>
    <xf numFmtId="0" fontId="34" fillId="0" borderId="1" xfId="0" applyFont="1" applyBorder="1" applyAlignment="1">
      <alignment horizontal="left"/>
    </xf>
    <xf numFmtId="0" fontId="8" fillId="0" borderId="1" xfId="0" applyFont="1" applyBorder="1" applyAlignment="1">
      <alignment horizontal="left"/>
    </xf>
    <xf numFmtId="0" fontId="10" fillId="0" borderId="1" xfId="0" applyFont="1" applyBorder="1" applyAlignment="1">
      <alignment horizontal="right"/>
    </xf>
    <xf numFmtId="0" fontId="8" fillId="0" borderId="1" xfId="0" applyFont="1" applyFill="1" applyBorder="1" applyAlignment="1">
      <alignment horizontal="center"/>
    </xf>
    <xf numFmtId="0" fontId="4" fillId="0" borderId="1" xfId="0" applyFont="1" applyFill="1" applyBorder="1" applyAlignment="1"/>
    <xf numFmtId="0" fontId="8" fillId="6" borderId="2" xfId="0" applyFont="1" applyFill="1" applyBorder="1" applyAlignment="1">
      <alignment horizontal="center" vertical="center"/>
    </xf>
    <xf numFmtId="0" fontId="8" fillId="0" borderId="2" xfId="0" applyFont="1" applyFill="1" applyBorder="1" applyAlignment="1">
      <alignment horizontal="center" vertical="center"/>
    </xf>
    <xf numFmtId="14" fontId="8" fillId="0" borderId="2" xfId="0" applyNumberFormat="1" applyFont="1" applyFill="1" applyBorder="1" applyAlignment="1">
      <alignment horizontal="center" vertical="center"/>
    </xf>
    <xf numFmtId="0" fontId="8" fillId="6" borderId="19" xfId="0" applyFont="1" applyFill="1" applyBorder="1" applyAlignment="1">
      <alignment horizontal="center"/>
    </xf>
    <xf numFmtId="49" fontId="8" fillId="6" borderId="19" xfId="0" applyNumberFormat="1" applyFont="1" applyFill="1" applyBorder="1" applyAlignment="1">
      <alignment horizontal="center"/>
    </xf>
    <xf numFmtId="0" fontId="8" fillId="6" borderId="12" xfId="0" applyFont="1" applyFill="1" applyBorder="1" applyAlignment="1">
      <alignment horizontal="center" vertical="center"/>
    </xf>
    <xf numFmtId="49" fontId="8" fillId="0" borderId="19" xfId="0" applyNumberFormat="1" applyFont="1" applyFill="1" applyBorder="1" applyAlignment="1">
      <alignment horizontal="center" vertical="center"/>
    </xf>
    <xf numFmtId="49" fontId="8" fillId="6" borderId="19" xfId="0" applyNumberFormat="1" applyFont="1" applyFill="1" applyBorder="1" applyAlignment="1">
      <alignment horizontal="center" vertical="center"/>
    </xf>
    <xf numFmtId="0" fontId="11" fillId="0" borderId="1" xfId="0" applyNumberFormat="1" applyFont="1" applyBorder="1" applyAlignment="1">
      <alignment horizontal="left"/>
    </xf>
    <xf numFmtId="0" fontId="11" fillId="0" borderId="1" xfId="0" applyFont="1" applyBorder="1" applyAlignment="1">
      <alignment horizontal="right" vertical="center"/>
    </xf>
    <xf numFmtId="0" fontId="1" fillId="0" borderId="1" xfId="0" applyNumberFormat="1" applyFont="1" applyBorder="1" applyAlignment="1">
      <alignment horizont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3" fontId="37" fillId="0" borderId="2" xfId="0" applyNumberFormat="1" applyFont="1" applyBorder="1" applyAlignment="1">
      <alignment horizontal="left" vertical="center" wrapText="1"/>
    </xf>
    <xf numFmtId="0" fontId="18" fillId="0" borderId="5" xfId="0" applyFont="1" applyBorder="1" applyAlignment="1">
      <alignment horizontal="center" vertical="center"/>
    </xf>
    <xf numFmtId="0" fontId="18" fillId="0" borderId="1" xfId="0" applyFont="1" applyBorder="1" applyAlignment="1">
      <alignment horizontal="center" vertical="center" wrapText="1"/>
    </xf>
    <xf numFmtId="0" fontId="6" fillId="0" borderId="1" xfId="0" applyFont="1" applyBorder="1" applyAlignment="1">
      <alignment horizontal="center" vertical="center"/>
    </xf>
    <xf numFmtId="10" fontId="6" fillId="0" borderId="1" xfId="0" applyNumberFormat="1" applyFont="1" applyBorder="1" applyAlignment="1">
      <alignment horizontal="center" vertical="center"/>
    </xf>
    <xf numFmtId="0" fontId="5" fillId="0" borderId="10" xfId="0" applyFont="1" applyBorder="1" applyAlignment="1">
      <alignment horizontal="center"/>
    </xf>
    <xf numFmtId="0" fontId="0" fillId="0" borderId="1" xfId="0" applyFont="1" applyBorder="1" applyAlignment="1"/>
    <xf numFmtId="0" fontId="39" fillId="0" borderId="1" xfId="0" applyFont="1" applyBorder="1" applyAlignment="1">
      <alignment horizontal="left" vertical="center"/>
    </xf>
    <xf numFmtId="0" fontId="8" fillId="6" borderId="2" xfId="0" applyFont="1" applyFill="1" applyBorder="1" applyAlignment="1">
      <alignment horizontal="center"/>
    </xf>
    <xf numFmtId="0" fontId="8" fillId="6" borderId="12" xfId="0" applyFont="1" applyFill="1" applyBorder="1" applyAlignment="1">
      <alignment horizontal="center"/>
    </xf>
    <xf numFmtId="0" fontId="5" fillId="0" borderId="1" xfId="0" applyFont="1" applyBorder="1" applyAlignment="1">
      <alignment horizontal="center"/>
    </xf>
    <xf numFmtId="0" fontId="41" fillId="0" borderId="2" xfId="0" applyFont="1" applyBorder="1" applyAlignment="1">
      <alignment horizontal="center" vertical="center"/>
    </xf>
    <xf numFmtId="0" fontId="27" fillId="0" borderId="2" xfId="0" applyFont="1" applyFill="1" applyBorder="1" applyAlignment="1"/>
    <xf numFmtId="2" fontId="28" fillId="0" borderId="1" xfId="0" applyNumberFormat="1" applyFont="1" applyBorder="1" applyAlignment="1">
      <alignment horizontal="center" vertical="center"/>
    </xf>
    <xf numFmtId="0" fontId="27" fillId="0" borderId="24" xfId="0" applyFont="1" applyBorder="1" applyAlignment="1">
      <alignment horizontal="left" vertical="center"/>
    </xf>
    <xf numFmtId="0" fontId="28" fillId="0" borderId="22" xfId="0" applyFont="1" applyBorder="1" applyAlignment="1">
      <alignment horizontal="center" vertical="center"/>
    </xf>
    <xf numFmtId="2" fontId="28" fillId="0" borderId="22" xfId="0" applyNumberFormat="1" applyFont="1" applyBorder="1" applyAlignment="1">
      <alignment horizontal="center" vertical="center"/>
    </xf>
    <xf numFmtId="0" fontId="28" fillId="0" borderId="27" xfId="0" applyFont="1" applyBorder="1" applyAlignment="1">
      <alignment horizontal="center" vertical="center"/>
    </xf>
    <xf numFmtId="0" fontId="27" fillId="0" borderId="1" xfId="0" applyFont="1" applyBorder="1" applyAlignment="1">
      <alignment horizontal="right"/>
    </xf>
    <xf numFmtId="2" fontId="29" fillId="0" borderId="1" xfId="0" applyNumberFormat="1" applyFont="1" applyBorder="1" applyAlignment="1">
      <alignment horizontal="center"/>
    </xf>
    <xf numFmtId="0" fontId="42" fillId="0" borderId="1"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1" xfId="0" applyNumberFormat="1" applyFont="1" applyBorder="1" applyAlignment="1">
      <alignment horizontal="right" vertical="center" wrapText="1"/>
    </xf>
    <xf numFmtId="10" fontId="11" fillId="0" borderId="1" xfId="0" applyNumberFormat="1" applyFont="1" applyBorder="1" applyAlignment="1">
      <alignment horizontal="right" vertical="center" wrapText="1"/>
    </xf>
    <xf numFmtId="0" fontId="6" fillId="0" borderId="1" xfId="0" applyNumberFormat="1" applyFont="1" applyBorder="1" applyAlignment="1" applyProtection="1">
      <alignment vertical="center"/>
    </xf>
    <xf numFmtId="0" fontId="7" fillId="0" borderId="13" xfId="0" applyFont="1" applyFill="1" applyBorder="1" applyAlignment="1" applyProtection="1">
      <alignment horizontal="center" vertical="center" wrapText="1"/>
      <protection locked="0"/>
    </xf>
    <xf numFmtId="0" fontId="12" fillId="0" borderId="35" xfId="0" applyNumberFormat="1" applyFont="1" applyBorder="1" applyAlignment="1" applyProtection="1">
      <alignment vertical="center"/>
    </xf>
    <xf numFmtId="0" fontId="6" fillId="0" borderId="35" xfId="0" applyNumberFormat="1" applyFont="1" applyBorder="1" applyAlignment="1" applyProtection="1">
      <alignment vertical="center"/>
    </xf>
    <xf numFmtId="0" fontId="6" fillId="0" borderId="35" xfId="0" applyFont="1" applyBorder="1" applyAlignment="1" applyProtection="1">
      <alignment horizontal="left" vertical="top"/>
    </xf>
    <xf numFmtId="0" fontId="40" fillId="7" borderId="46" xfId="0" applyFont="1" applyFill="1" applyBorder="1" applyAlignment="1" applyProtection="1">
      <alignment horizontal="left" vertical="center"/>
      <protection locked="0"/>
    </xf>
    <xf numFmtId="0" fontId="22" fillId="7" borderId="48" xfId="0" applyFont="1" applyFill="1" applyBorder="1" applyAlignment="1" applyProtection="1">
      <alignment vertical="center"/>
      <protection locked="0"/>
    </xf>
    <xf numFmtId="0" fontId="22" fillId="7" borderId="50" xfId="0" applyFont="1" applyFill="1" applyBorder="1" applyAlignment="1" applyProtection="1">
      <alignment vertical="center"/>
      <protection locked="0"/>
    </xf>
    <xf numFmtId="0" fontId="5" fillId="7" borderId="33" xfId="0" applyFont="1" applyFill="1" applyBorder="1" applyAlignment="1" applyProtection="1">
      <alignment vertical="center"/>
      <protection locked="0"/>
    </xf>
    <xf numFmtId="10" fontId="5" fillId="7" borderId="34" xfId="0" applyNumberFormat="1" applyFont="1" applyFill="1" applyBorder="1" applyAlignment="1" applyProtection="1">
      <alignment horizontal="left" vertical="center"/>
      <protection locked="0"/>
    </xf>
    <xf numFmtId="0" fontId="22" fillId="7" borderId="52" xfId="0" applyFont="1" applyFill="1" applyBorder="1" applyAlignment="1" applyProtection="1">
      <alignment vertical="center"/>
      <protection locked="0"/>
    </xf>
    <xf numFmtId="0" fontId="22" fillId="7" borderId="54" xfId="0" applyFont="1" applyFill="1" applyBorder="1" applyAlignment="1" applyProtection="1">
      <alignment vertical="center"/>
      <protection locked="0"/>
    </xf>
    <xf numFmtId="0" fontId="22" fillId="7" borderId="56" xfId="0" applyFont="1" applyFill="1" applyBorder="1" applyAlignment="1" applyProtection="1">
      <alignment vertical="center"/>
      <protection locked="0"/>
    </xf>
    <xf numFmtId="0" fontId="22" fillId="7" borderId="61" xfId="0" applyFont="1" applyFill="1" applyBorder="1" applyAlignment="1" applyProtection="1">
      <alignment vertical="center"/>
      <protection locked="0"/>
    </xf>
    <xf numFmtId="0" fontId="5" fillId="7" borderId="35" xfId="0" applyFont="1" applyFill="1" applyBorder="1" applyAlignment="1" applyProtection="1">
      <alignment vertical="center"/>
      <protection locked="0"/>
    </xf>
    <xf numFmtId="4" fontId="5" fillId="7" borderId="36" xfId="0" applyNumberFormat="1" applyFont="1" applyFill="1" applyBorder="1" applyAlignment="1" applyProtection="1">
      <alignment vertical="center"/>
      <protection locked="0"/>
    </xf>
    <xf numFmtId="0" fontId="5" fillId="7" borderId="36" xfId="0" applyFont="1" applyFill="1" applyBorder="1" applyAlignment="1" applyProtection="1">
      <alignment vertical="center"/>
      <protection locked="0"/>
    </xf>
    <xf numFmtId="0" fontId="22" fillId="7" borderId="60" xfId="0" applyFont="1" applyFill="1" applyBorder="1" applyAlignment="1" applyProtection="1">
      <alignment vertical="center"/>
      <protection locked="0"/>
    </xf>
    <xf numFmtId="0" fontId="39" fillId="4" borderId="47" xfId="0" applyFont="1" applyFill="1" applyBorder="1" applyAlignment="1" applyProtection="1">
      <alignment horizontal="left" vertical="center"/>
      <protection locked="0"/>
    </xf>
    <xf numFmtId="49" fontId="5" fillId="4" borderId="49" xfId="0" applyNumberFormat="1" applyFont="1" applyFill="1" applyBorder="1" applyAlignment="1" applyProtection="1">
      <alignment vertical="center"/>
      <protection locked="0"/>
    </xf>
    <xf numFmtId="49" fontId="5" fillId="4" borderId="51" xfId="0" applyNumberFormat="1" applyFont="1" applyFill="1" applyBorder="1" applyAlignment="1" applyProtection="1">
      <alignment vertical="center"/>
      <protection locked="0"/>
    </xf>
    <xf numFmtId="49" fontId="5" fillId="4" borderId="53" xfId="0" applyNumberFormat="1" applyFont="1" applyFill="1" applyBorder="1" applyAlignment="1" applyProtection="1">
      <alignment vertical="center" wrapText="1"/>
      <protection locked="0"/>
    </xf>
    <xf numFmtId="49" fontId="5" fillId="4" borderId="55" xfId="0" applyNumberFormat="1" applyFont="1" applyFill="1" applyBorder="1" applyAlignment="1" applyProtection="1">
      <alignment vertical="center"/>
      <protection locked="0"/>
    </xf>
    <xf numFmtId="49" fontId="5" fillId="4" borderId="57" xfId="0" applyNumberFormat="1" applyFont="1" applyFill="1" applyBorder="1" applyAlignment="1" applyProtection="1">
      <alignment vertical="center" wrapText="1"/>
      <protection locked="0"/>
    </xf>
    <xf numFmtId="0" fontId="5" fillId="4" borderId="58" xfId="0" applyFont="1" applyFill="1" applyBorder="1" applyAlignment="1" applyProtection="1">
      <alignment vertical="center"/>
      <protection locked="0"/>
    </xf>
    <xf numFmtId="49" fontId="5" fillId="4" borderId="59" xfId="0" applyNumberFormat="1" applyFont="1" applyFill="1" applyBorder="1" applyAlignment="1" applyProtection="1">
      <alignment vertical="center"/>
      <protection locked="0"/>
    </xf>
    <xf numFmtId="14" fontId="5" fillId="4" borderId="62" xfId="0" applyNumberFormat="1" applyFont="1" applyFill="1" applyBorder="1" applyAlignment="1" applyProtection="1">
      <alignment horizontal="left" vertical="center"/>
      <protection locked="0"/>
    </xf>
    <xf numFmtId="0" fontId="5" fillId="4" borderId="43" xfId="0" applyFont="1" applyFill="1" applyBorder="1" applyAlignment="1" applyProtection="1">
      <alignment vertical="center"/>
      <protection locked="0"/>
    </xf>
    <xf numFmtId="0" fontId="43" fillId="0" borderId="0" xfId="0" applyFont="1" applyAlignment="1">
      <alignment vertical="center"/>
    </xf>
    <xf numFmtId="0" fontId="15" fillId="0" borderId="0" xfId="0" applyFont="1" applyAlignment="1">
      <alignment wrapText="1"/>
    </xf>
    <xf numFmtId="0" fontId="12" fillId="0" borderId="35" xfId="0" applyFont="1" applyBorder="1" applyAlignment="1">
      <alignment vertical="center" wrapText="1"/>
    </xf>
    <xf numFmtId="0" fontId="5" fillId="0" borderId="42" xfId="0" applyFont="1" applyBorder="1" applyAlignment="1"/>
    <xf numFmtId="0" fontId="7" fillId="0" borderId="42" xfId="0" applyFont="1" applyBorder="1" applyAlignment="1">
      <alignment horizontal="center"/>
    </xf>
    <xf numFmtId="0" fontId="25" fillId="0" borderId="1" xfId="0" applyFont="1" applyBorder="1" applyAlignment="1"/>
    <xf numFmtId="4" fontId="32" fillId="0" borderId="1"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1" xfId="0" applyNumberFormat="1" applyFont="1" applyBorder="1" applyAlignment="1">
      <alignment horizontal="right" vertical="center" wrapText="1"/>
    </xf>
    <xf numFmtId="10" fontId="51" fillId="0" borderId="1" xfId="0" applyNumberFormat="1" applyFont="1" applyFill="1" applyBorder="1" applyAlignment="1">
      <alignment horizontal="right" vertical="center" wrapText="1"/>
    </xf>
    <xf numFmtId="10" fontId="49" fillId="0" borderId="1" xfId="0" applyNumberFormat="1" applyFont="1" applyFill="1" applyBorder="1" applyAlignment="1">
      <alignment horizontal="right" vertical="center" wrapText="1"/>
    </xf>
    <xf numFmtId="0" fontId="47" fillId="0" borderId="1" xfId="0" applyNumberFormat="1" applyFont="1" applyBorder="1" applyAlignment="1"/>
    <xf numFmtId="0" fontId="38" fillId="0" borderId="1" xfId="0" applyNumberFormat="1" applyFont="1" applyBorder="1" applyAlignment="1">
      <alignment horizontal="center" vertical="center" wrapText="1"/>
    </xf>
    <xf numFmtId="0" fontId="16" fillId="0" borderId="1" xfId="0" applyNumberFormat="1" applyFont="1" applyFill="1" applyBorder="1" applyAlignment="1">
      <alignment horizontal="right" vertical="center" wrapText="1"/>
    </xf>
    <xf numFmtId="0" fontId="38" fillId="0" borderId="1" xfId="0" applyNumberFormat="1" applyFont="1" applyFill="1" applyBorder="1" applyAlignment="1">
      <alignment horizontal="right" vertical="center" wrapText="1"/>
    </xf>
    <xf numFmtId="0" fontId="38" fillId="0" borderId="1" xfId="0" applyNumberFormat="1" applyFont="1" applyBorder="1" applyAlignment="1">
      <alignment horizontal="right" vertical="center" wrapText="1"/>
    </xf>
    <xf numFmtId="0" fontId="47" fillId="0" borderId="0" xfId="0" applyNumberFormat="1" applyFont="1" applyAlignment="1">
      <alignment horizontal="right"/>
    </xf>
    <xf numFmtId="2" fontId="47" fillId="0" borderId="1" xfId="0" applyNumberFormat="1" applyFont="1" applyBorder="1" applyAlignment="1"/>
    <xf numFmtId="2" fontId="47" fillId="0" borderId="0" xfId="0" applyNumberFormat="1" applyFont="1" applyAlignment="1">
      <alignment horizontal="right"/>
    </xf>
    <xf numFmtId="0" fontId="11" fillId="0" borderId="24"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NumberFormat="1" applyFont="1" applyBorder="1" applyAlignment="1">
      <alignment vertical="center" wrapText="1"/>
    </xf>
    <xf numFmtId="0" fontId="7" fillId="0" borderId="16" xfId="0" applyFont="1" applyFill="1" applyBorder="1" applyAlignment="1" applyProtection="1">
      <alignment horizontal="center" vertical="center" wrapText="1"/>
      <protection locked="0"/>
    </xf>
    <xf numFmtId="168" fontId="7" fillId="0" borderId="16" xfId="0" applyNumberFormat="1" applyFont="1" applyFill="1" applyBorder="1" applyAlignment="1" applyProtection="1">
      <alignment horizontal="right" vertical="center" wrapText="1"/>
      <protection locked="0"/>
    </xf>
    <xf numFmtId="49" fontId="7" fillId="0" borderId="16" xfId="0" applyNumberFormat="1" applyFont="1" applyFill="1" applyBorder="1" applyAlignment="1" applyProtection="1">
      <alignment horizontal="right" vertical="center" wrapText="1"/>
      <protection locked="0"/>
    </xf>
    <xf numFmtId="10" fontId="7" fillId="0" borderId="16" xfId="0" applyNumberFormat="1" applyFont="1" applyFill="1" applyBorder="1" applyAlignment="1" applyProtection="1">
      <alignment horizontal="right" vertical="center" wrapText="1"/>
      <protection locked="0"/>
    </xf>
    <xf numFmtId="168" fontId="7" fillId="0" borderId="13" xfId="0" applyNumberFormat="1" applyFont="1" applyFill="1" applyBorder="1" applyAlignment="1" applyProtection="1">
      <alignment horizontal="right" vertical="center" wrapText="1"/>
      <protection locked="0"/>
    </xf>
    <xf numFmtId="49" fontId="7" fillId="0" borderId="13" xfId="0" applyNumberFormat="1" applyFont="1" applyFill="1" applyBorder="1" applyAlignment="1" applyProtection="1">
      <alignment horizontal="right" vertical="center" wrapText="1"/>
      <protection locked="0"/>
    </xf>
    <xf numFmtId="10" fontId="7" fillId="0" borderId="13" xfId="0" applyNumberFormat="1" applyFont="1" applyFill="1" applyBorder="1" applyAlignment="1" applyProtection="1">
      <alignment horizontal="right" vertical="center" wrapText="1"/>
      <protection locked="0"/>
    </xf>
    <xf numFmtId="0" fontId="1" fillId="0" borderId="33" xfId="0" applyFont="1" applyFill="1" applyBorder="1" applyAlignment="1" applyProtection="1">
      <alignment vertical="center"/>
    </xf>
    <xf numFmtId="0" fontId="1" fillId="0" borderId="29" xfId="0" applyFont="1" applyFill="1" applyBorder="1" applyAlignment="1" applyProtection="1">
      <alignment vertical="center"/>
    </xf>
    <xf numFmtId="0" fontId="2" fillId="0" borderId="29" xfId="0" applyFont="1" applyFill="1" applyBorder="1" applyAlignment="1" applyProtection="1"/>
    <xf numFmtId="49" fontId="2" fillId="0" borderId="29" xfId="0" applyNumberFormat="1" applyFont="1" applyFill="1" applyBorder="1" applyAlignment="1" applyProtection="1"/>
    <xf numFmtId="0" fontId="2" fillId="0" borderId="34" xfId="0" applyFont="1" applyFill="1" applyBorder="1" applyAlignment="1" applyProtection="1"/>
    <xf numFmtId="0" fontId="12" fillId="0" borderId="35"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0" fontId="2" fillId="0" borderId="36" xfId="0" applyFont="1" applyFill="1" applyBorder="1" applyAlignment="1" applyProtection="1"/>
    <xf numFmtId="0" fontId="6" fillId="0" borderId="35" xfId="0" applyNumberFormat="1" applyFont="1" applyFill="1" applyBorder="1" applyAlignment="1" applyProtection="1">
      <alignment vertical="center"/>
    </xf>
    <xf numFmtId="49" fontId="6" fillId="0" borderId="1" xfId="0" applyNumberFormat="1" applyFont="1" applyFill="1" applyBorder="1" applyAlignment="1" applyProtection="1">
      <alignment vertical="top"/>
    </xf>
    <xf numFmtId="0" fontId="6" fillId="0" borderId="35" xfId="0" applyFont="1" applyFill="1" applyBorder="1" applyAlignment="1" applyProtection="1">
      <alignment horizontal="left" vertical="top"/>
    </xf>
    <xf numFmtId="49" fontId="18" fillId="0" borderId="1" xfId="0" applyNumberFormat="1" applyFont="1" applyFill="1" applyBorder="1" applyAlignment="1" applyProtection="1">
      <alignment horizontal="left" vertical="top"/>
    </xf>
    <xf numFmtId="0" fontId="7" fillId="0" borderId="22" xfId="0" applyFont="1" applyFill="1" applyBorder="1" applyAlignment="1" applyProtection="1">
      <alignment horizontal="left" vertical="center" wrapText="1"/>
      <protection locked="0"/>
    </xf>
    <xf numFmtId="168" fontId="11" fillId="0" borderId="3" xfId="0" applyNumberFormat="1" applyFont="1" applyFill="1" applyBorder="1" applyAlignment="1" applyProtection="1">
      <alignment horizontal="right" vertical="center" wrapText="1"/>
      <protection locked="0"/>
    </xf>
    <xf numFmtId="10" fontId="11" fillId="0" borderId="40" xfId="0" applyNumberFormat="1" applyFont="1" applyFill="1" applyBorder="1" applyAlignment="1" applyProtection="1">
      <alignment horizontal="right" vertical="center" wrapText="1"/>
      <protection locked="0"/>
    </xf>
    <xf numFmtId="168" fontId="11" fillId="0" borderId="20" xfId="0" applyNumberFormat="1" applyFont="1" applyFill="1" applyBorder="1" applyAlignment="1" applyProtection="1">
      <alignment horizontal="right" vertical="center" wrapText="1"/>
      <protection locked="0"/>
    </xf>
    <xf numFmtId="10" fontId="11" fillId="0" borderId="38" xfId="0" applyNumberFormat="1" applyFont="1" applyFill="1" applyBorder="1" applyAlignment="1" applyProtection="1">
      <alignment horizontal="right" vertical="center" wrapText="1"/>
      <protection locked="0"/>
    </xf>
    <xf numFmtId="0" fontId="12" fillId="0" borderId="24" xfId="0" applyFont="1" applyFill="1" applyBorder="1" applyAlignment="1" applyProtection="1">
      <alignment horizontal="center" vertical="center" wrapText="1"/>
      <protection locked="0"/>
    </xf>
    <xf numFmtId="0" fontId="12" fillId="0" borderId="22"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168" fontId="7" fillId="0" borderId="3" xfId="0" applyNumberFormat="1" applyFont="1" applyFill="1" applyBorder="1" applyAlignment="1" applyProtection="1">
      <alignment horizontal="right" vertical="center" wrapText="1"/>
      <protection locked="0"/>
    </xf>
    <xf numFmtId="49" fontId="7" fillId="0" borderId="22" xfId="0" applyNumberFormat="1" applyFont="1" applyFill="1" applyBorder="1" applyAlignment="1" applyProtection="1">
      <alignment horizontal="right" vertical="center" wrapText="1"/>
      <protection locked="0"/>
    </xf>
    <xf numFmtId="168" fontId="7" fillId="0" borderId="22" xfId="0" applyNumberFormat="1" applyFont="1" applyFill="1" applyBorder="1" applyAlignment="1" applyProtection="1">
      <alignment horizontal="right" vertical="center" wrapText="1"/>
      <protection locked="0"/>
    </xf>
    <xf numFmtId="49" fontId="12" fillId="0" borderId="22" xfId="0" applyNumberFormat="1" applyFont="1" applyFill="1" applyBorder="1" applyAlignment="1" applyProtection="1">
      <alignment vertical="center" wrapText="1"/>
      <protection locked="0"/>
    </xf>
    <xf numFmtId="168" fontId="11" fillId="0" borderId="27" xfId="0" applyNumberFormat="1" applyFont="1" applyFill="1" applyBorder="1" applyAlignment="1" applyProtection="1">
      <alignment horizontal="right" vertical="center" wrapText="1"/>
      <protection locked="0"/>
    </xf>
    <xf numFmtId="168" fontId="11" fillId="0" borderId="2" xfId="0" applyNumberFormat="1" applyFont="1" applyFill="1" applyBorder="1" applyAlignment="1" applyProtection="1">
      <alignment horizontal="right" vertical="center" wrapText="1"/>
      <protection locked="0"/>
    </xf>
    <xf numFmtId="10" fontId="11" fillId="0" borderId="27" xfId="0" applyNumberFormat="1" applyFont="1" applyFill="1" applyBorder="1" applyAlignment="1" applyProtection="1">
      <alignment horizontal="right" vertical="center" wrapText="1"/>
      <protection locked="0"/>
    </xf>
    <xf numFmtId="168" fontId="11" fillId="0" borderId="22" xfId="0" applyNumberFormat="1" applyFont="1" applyFill="1" applyBorder="1" applyAlignment="1" applyProtection="1">
      <alignment horizontal="right" vertical="center" wrapText="1"/>
      <protection locked="0"/>
    </xf>
    <xf numFmtId="0" fontId="7"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wrapText="1"/>
      <protection locked="0"/>
    </xf>
    <xf numFmtId="168" fontId="7" fillId="0" borderId="1" xfId="0" applyNumberFormat="1" applyFont="1" applyFill="1" applyBorder="1" applyAlignment="1" applyProtection="1">
      <alignment horizontal="right" vertical="center"/>
      <protection locked="0"/>
    </xf>
    <xf numFmtId="168" fontId="7" fillId="0" borderId="1" xfId="0" applyNumberFormat="1" applyFont="1" applyFill="1" applyBorder="1" applyAlignment="1" applyProtection="1">
      <alignment horizontal="right"/>
      <protection locked="0"/>
    </xf>
    <xf numFmtId="169" fontId="7" fillId="0" borderId="35" xfId="0" applyNumberFormat="1" applyFont="1" applyFill="1" applyBorder="1" applyAlignment="1" applyProtection="1">
      <alignment horizontal="left" vertical="center"/>
      <protection locked="0"/>
    </xf>
    <xf numFmtId="49" fontId="7" fillId="0" borderId="1" xfId="0" applyNumberFormat="1" applyFont="1" applyFill="1" applyBorder="1" applyAlignment="1" applyProtection="1">
      <alignment horizontal="right"/>
      <protection locked="0"/>
    </xf>
    <xf numFmtId="0" fontId="18" fillId="0" borderId="29" xfId="0" applyFont="1" applyBorder="1" applyAlignment="1">
      <alignment vertical="center"/>
    </xf>
    <xf numFmtId="0" fontId="18" fillId="0" borderId="34" xfId="0" applyFont="1" applyBorder="1" applyAlignment="1">
      <alignment vertical="center"/>
    </xf>
    <xf numFmtId="0" fontId="18" fillId="0" borderId="36" xfId="0" applyFont="1" applyBorder="1" applyAlignment="1">
      <alignment vertical="center"/>
    </xf>
    <xf numFmtId="0" fontId="18" fillId="0" borderId="36" xfId="0" applyFont="1" applyBorder="1" applyAlignment="1">
      <alignment horizontal="right" vertical="center" wrapText="1"/>
    </xf>
    <xf numFmtId="0" fontId="5" fillId="0" borderId="36" xfId="0" applyFont="1" applyBorder="1" applyAlignment="1"/>
    <xf numFmtId="167" fontId="12" fillId="4" borderId="2" xfId="0" applyNumberFormat="1" applyFont="1" applyFill="1" applyBorder="1" applyAlignment="1">
      <alignment horizontal="center" vertical="center"/>
    </xf>
    <xf numFmtId="0" fontId="12" fillId="0" borderId="36" xfId="0" applyFont="1" applyFill="1" applyBorder="1" applyAlignment="1">
      <alignment horizontal="left"/>
    </xf>
    <xf numFmtId="0" fontId="33" fillId="0" borderId="35" xfId="0" applyFont="1" applyBorder="1" applyAlignment="1"/>
    <xf numFmtId="0" fontId="5" fillId="0" borderId="43" xfId="0" applyFont="1" applyBorder="1" applyAlignment="1"/>
    <xf numFmtId="0" fontId="1" fillId="0" borderId="1" xfId="0" applyFont="1" applyBorder="1" applyAlignment="1">
      <alignment vertical="top"/>
    </xf>
    <xf numFmtId="0" fontId="8" fillId="0" borderId="1" xfId="0" applyFont="1" applyBorder="1" applyAlignment="1">
      <alignment vertical="center"/>
    </xf>
    <xf numFmtId="0" fontId="7" fillId="0" borderId="1" xfId="0" applyFont="1" applyBorder="1" applyAlignment="1">
      <alignment vertical="center" wrapText="1"/>
    </xf>
    <xf numFmtId="0" fontId="8" fillId="0" borderId="1" xfId="0" applyFont="1" applyBorder="1" applyAlignment="1">
      <alignment horizontal="center"/>
    </xf>
    <xf numFmtId="49" fontId="10" fillId="0" borderId="2" xfId="0" applyNumberFormat="1" applyFont="1" applyBorder="1" applyAlignment="1">
      <alignment horizontal="center" vertical="center"/>
    </xf>
    <xf numFmtId="0" fontId="10" fillId="0" borderId="2" xfId="0" applyNumberFormat="1" applyFont="1" applyBorder="1" applyAlignment="1">
      <alignment vertical="center" wrapText="1"/>
    </xf>
    <xf numFmtId="4" fontId="10" fillId="0" borderId="2" xfId="0" applyNumberFormat="1" applyFont="1" applyBorder="1" applyAlignment="1">
      <alignment horizontal="right"/>
    </xf>
    <xf numFmtId="9" fontId="10" fillId="0" borderId="2" xfId="0" applyNumberFormat="1" applyFont="1" applyBorder="1"/>
    <xf numFmtId="167" fontId="10" fillId="0" borderId="2" xfId="0" applyNumberFormat="1" applyFont="1" applyBorder="1"/>
    <xf numFmtId="167" fontId="8" fillId="2" borderId="2" xfId="0" applyNumberFormat="1" applyFont="1" applyFill="1" applyBorder="1"/>
    <xf numFmtId="0" fontId="8" fillId="2" borderId="2" xfId="0" applyFont="1" applyFill="1" applyBorder="1"/>
    <xf numFmtId="10" fontId="8" fillId="2" borderId="2" xfId="0" applyNumberFormat="1" applyFont="1" applyFill="1" applyBorder="1"/>
    <xf numFmtId="9" fontId="8" fillId="2" borderId="2" xfId="0" applyNumberFormat="1" applyFont="1" applyFill="1" applyBorder="1"/>
    <xf numFmtId="0" fontId="8" fillId="0" borderId="36" xfId="0" applyFont="1" applyBorder="1" applyAlignment="1">
      <alignment horizontal="left"/>
    </xf>
    <xf numFmtId="0" fontId="1" fillId="0" borderId="33" xfId="0" applyFont="1" applyBorder="1" applyAlignment="1">
      <alignment vertical="center"/>
    </xf>
    <xf numFmtId="0" fontId="7" fillId="0" borderId="34" xfId="0" applyFont="1" applyBorder="1" applyAlignment="1"/>
    <xf numFmtId="0" fontId="34" fillId="0" borderId="36" xfId="0" applyFont="1" applyBorder="1" applyAlignment="1">
      <alignment horizontal="left"/>
    </xf>
    <xf numFmtId="0" fontId="8" fillId="0" borderId="35" xfId="0" applyFont="1" applyBorder="1" applyAlignment="1">
      <alignment horizontal="center"/>
    </xf>
    <xf numFmtId="0" fontId="8" fillId="0" borderId="36" xfId="0" applyFont="1" applyBorder="1" applyAlignment="1">
      <alignment horizontal="center"/>
    </xf>
    <xf numFmtId="0" fontId="7" fillId="0" borderId="35" xfId="0" applyFont="1" applyBorder="1" applyAlignment="1">
      <alignment horizontal="left"/>
    </xf>
    <xf numFmtId="0" fontId="10" fillId="0" borderId="35" xfId="0" applyFont="1" applyBorder="1" applyAlignment="1">
      <alignment horizontal="right"/>
    </xf>
    <xf numFmtId="0" fontId="7" fillId="0" borderId="41" xfId="0" applyFont="1" applyBorder="1"/>
    <xf numFmtId="0" fontId="7" fillId="0" borderId="42" xfId="0" applyFont="1" applyBorder="1"/>
    <xf numFmtId="0" fontId="10" fillId="0" borderId="43" xfId="0" applyFont="1" applyBorder="1" applyAlignment="1">
      <alignment horizontal="right"/>
    </xf>
    <xf numFmtId="168" fontId="7" fillId="0" borderId="1" xfId="0" applyNumberFormat="1" applyFont="1" applyFill="1" applyBorder="1" applyAlignment="1" applyProtection="1">
      <alignment horizontal="right" vertical="center" wrapText="1"/>
      <protection locked="0"/>
    </xf>
    <xf numFmtId="0" fontId="25" fillId="0" borderId="0" xfId="0" applyFont="1" applyAlignment="1"/>
    <xf numFmtId="0" fontId="2" fillId="0" borderId="0" xfId="0" applyFont="1" applyAlignment="1"/>
    <xf numFmtId="0" fontId="55" fillId="0" borderId="1" xfId="0" applyNumberFormat="1" applyFont="1" applyBorder="1" applyAlignment="1">
      <alignment horizontal="right" vertical="center" wrapText="1"/>
    </xf>
    <xf numFmtId="10" fontId="55" fillId="0" borderId="1" xfId="0" applyNumberFormat="1" applyFont="1" applyBorder="1" applyAlignment="1">
      <alignment horizontal="right" vertical="center" wrapText="1"/>
    </xf>
    <xf numFmtId="0" fontId="12" fillId="0" borderId="22" xfId="0" applyFont="1" applyFill="1" applyBorder="1" applyAlignment="1" applyProtection="1">
      <alignment vertical="center" wrapText="1"/>
      <protection locked="0"/>
    </xf>
    <xf numFmtId="0" fontId="6" fillId="0" borderId="22" xfId="0" applyFont="1" applyFill="1" applyBorder="1" applyAlignment="1" applyProtection="1">
      <alignment horizontal="center" vertical="center" wrapText="1"/>
      <protection locked="0"/>
    </xf>
    <xf numFmtId="168" fontId="6" fillId="0" borderId="22" xfId="0" applyNumberFormat="1" applyFont="1" applyFill="1" applyBorder="1" applyAlignment="1" applyProtection="1">
      <alignment horizontal="right" vertical="center" wrapText="1"/>
      <protection locked="0"/>
    </xf>
    <xf numFmtId="49" fontId="6" fillId="0" borderId="22" xfId="0" applyNumberFormat="1" applyFont="1" applyFill="1" applyBorder="1" applyAlignment="1" applyProtection="1">
      <alignment horizontal="right" vertical="center" wrapText="1"/>
      <protection locked="0"/>
    </xf>
    <xf numFmtId="0" fontId="6" fillId="0" borderId="27"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0" fontId="58" fillId="0" borderId="1" xfId="0" applyNumberFormat="1" applyFont="1" applyBorder="1" applyAlignment="1">
      <alignment horizontal="right" vertical="center" wrapText="1"/>
    </xf>
    <xf numFmtId="10" fontId="58" fillId="0" borderId="1" xfId="0" applyNumberFormat="1" applyFont="1" applyBorder="1" applyAlignment="1">
      <alignment horizontal="right" vertical="center" wrapText="1"/>
    </xf>
    <xf numFmtId="0" fontId="3" fillId="0" borderId="0" xfId="0" applyFont="1" applyFill="1" applyAlignment="1">
      <alignment wrapText="1"/>
    </xf>
    <xf numFmtId="0" fontId="0" fillId="0" borderId="0" xfId="0"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5" fillId="0" borderId="0" xfId="0" applyFont="1" applyAlignment="1">
      <alignment wrapText="1"/>
    </xf>
    <xf numFmtId="0" fontId="11" fillId="0" borderId="33" xfId="0" applyFont="1" applyBorder="1" applyAlignment="1">
      <alignment horizontal="center" vertical="center" wrapText="1"/>
    </xf>
    <xf numFmtId="0" fontId="5" fillId="0" borderId="29" xfId="0" applyFont="1" applyBorder="1" applyAlignment="1">
      <alignment wrapText="1"/>
    </xf>
    <xf numFmtId="0" fontId="22" fillId="0" borderId="1" xfId="0" applyFont="1" applyBorder="1" applyAlignment="1">
      <alignment wrapText="1"/>
    </xf>
    <xf numFmtId="0" fontId="11" fillId="0" borderId="22" xfId="0" applyNumberFormat="1" applyFont="1" applyBorder="1" applyAlignment="1">
      <alignment vertical="center" wrapText="1"/>
    </xf>
    <xf numFmtId="0" fontId="11" fillId="0" borderId="29" xfId="0" applyNumberFormat="1" applyFont="1" applyBorder="1" applyAlignment="1">
      <alignment vertical="center" wrapText="1"/>
    </xf>
    <xf numFmtId="0" fontId="11" fillId="0" borderId="22" xfId="0" applyNumberFormat="1" applyFont="1" applyBorder="1" applyAlignment="1">
      <alignment horizontal="left" vertical="center" wrapText="1"/>
    </xf>
    <xf numFmtId="49" fontId="11" fillId="0" borderId="22" xfId="0" applyNumberFormat="1" applyFont="1" applyBorder="1" applyAlignment="1">
      <alignment horizontal="left" vertical="center" wrapText="1"/>
    </xf>
    <xf numFmtId="0" fontId="5" fillId="0" borderId="0" xfId="0" applyFont="1" applyAlignment="1">
      <alignment wrapText="1"/>
    </xf>
    <xf numFmtId="0" fontId="11" fillId="0" borderId="16" xfId="0" applyFont="1" applyBorder="1" applyAlignment="1">
      <alignment horizontal="center" vertical="center" wrapText="1"/>
    </xf>
    <xf numFmtId="0" fontId="11" fillId="0" borderId="16" xfId="0" applyFont="1" applyBorder="1" applyAlignment="1">
      <alignment horizontal="left" vertical="center" wrapText="1"/>
    </xf>
    <xf numFmtId="168" fontId="2" fillId="0" borderId="1" xfId="0" applyNumberFormat="1" applyFont="1" applyFill="1" applyBorder="1" applyAlignment="1" applyProtection="1">
      <alignment horizontal="right"/>
    </xf>
    <xf numFmtId="0" fontId="2" fillId="0" borderId="1" xfId="0" applyFont="1" applyFill="1" applyBorder="1" applyAlignment="1" applyProtection="1"/>
    <xf numFmtId="0" fontId="10" fillId="0" borderId="1" xfId="0" applyFont="1" applyBorder="1" applyAlignment="1">
      <alignment horizontal="right" vertical="center" wrapText="1"/>
    </xf>
    <xf numFmtId="9" fontId="10" fillId="0" borderId="1" xfId="0" applyNumberFormat="1" applyFont="1" applyBorder="1" applyAlignment="1">
      <alignment horizontal="right" vertical="center" wrapText="1"/>
    </xf>
    <xf numFmtId="49" fontId="7" fillId="0" borderId="29" xfId="0" applyNumberFormat="1" applyFont="1" applyBorder="1" applyAlignment="1">
      <alignment horizontal="center" vertical="center" wrapText="1"/>
    </xf>
    <xf numFmtId="0" fontId="7" fillId="0" borderId="1" xfId="0" applyFont="1" applyBorder="1" applyAlignment="1">
      <alignment horizontal="right" wrapText="1"/>
    </xf>
    <xf numFmtId="9" fontId="7" fillId="0" borderId="1" xfId="0" applyNumberFormat="1" applyFont="1" applyBorder="1" applyAlignment="1">
      <alignment horizontal="right" wrapText="1"/>
    </xf>
    <xf numFmtId="0" fontId="11" fillId="0" borderId="1" xfId="0" applyFont="1" applyBorder="1" applyAlignment="1">
      <alignment wrapText="1"/>
    </xf>
    <xf numFmtId="0" fontId="7" fillId="0" borderId="42" xfId="0" applyFont="1" applyBorder="1" applyAlignment="1">
      <alignment horizontal="right" wrapText="1"/>
    </xf>
    <xf numFmtId="0" fontId="7" fillId="0" borderId="42" xfId="0" applyFont="1" applyBorder="1" applyAlignment="1">
      <alignment horizontal="center" wrapText="1"/>
    </xf>
    <xf numFmtId="9" fontId="7" fillId="0" borderId="42" xfId="0" applyNumberFormat="1" applyFont="1" applyBorder="1" applyAlignment="1">
      <alignment horizontal="right" wrapText="1"/>
    </xf>
    <xf numFmtId="49" fontId="2" fillId="0" borderId="1" xfId="0" applyNumberFormat="1" applyFont="1" applyFill="1" applyBorder="1" applyAlignment="1" applyProtection="1">
      <alignment horizontal="right"/>
    </xf>
    <xf numFmtId="49" fontId="2" fillId="0" borderId="1" xfId="0" applyNumberFormat="1" applyFont="1" applyFill="1" applyBorder="1" applyAlignment="1" applyProtection="1"/>
    <xf numFmtId="168" fontId="2" fillId="0" borderId="1" xfId="0" applyNumberFormat="1" applyFont="1" applyFill="1" applyBorder="1" applyAlignment="1" applyProtection="1"/>
    <xf numFmtId="0" fontId="2" fillId="0" borderId="1" xfId="0" applyFont="1" applyFill="1" applyBorder="1" applyAlignment="1" applyProtection="1">
      <alignment wrapText="1"/>
      <protection locked="0"/>
    </xf>
    <xf numFmtId="0" fontId="2" fillId="0" borderId="36" xfId="0" applyFont="1" applyFill="1" applyBorder="1" applyAlignment="1" applyProtection="1">
      <alignment horizontal="right"/>
      <protection locked="0"/>
    </xf>
    <xf numFmtId="0" fontId="2" fillId="0" borderId="0" xfId="0" applyFont="1" applyAlignment="1">
      <alignment wrapText="1"/>
    </xf>
    <xf numFmtId="0" fontId="4" fillId="0" borderId="33" xfId="0" applyFont="1" applyBorder="1" applyAlignment="1">
      <alignment horizontal="center" vertical="center" wrapText="1"/>
    </xf>
    <xf numFmtId="0" fontId="10" fillId="0" borderId="35" xfId="0" applyFont="1" applyBorder="1" applyAlignment="1">
      <alignment vertical="center" wrapText="1"/>
    </xf>
    <xf numFmtId="0" fontId="5" fillId="0" borderId="35" xfId="0" applyFont="1" applyBorder="1" applyAlignment="1">
      <alignment wrapText="1"/>
    </xf>
    <xf numFmtId="0" fontId="5" fillId="0" borderId="41" xfId="0" applyFont="1" applyBorder="1" applyAlignment="1">
      <alignment wrapText="1"/>
    </xf>
    <xf numFmtId="0" fontId="7" fillId="0" borderId="1" xfId="0" applyNumberFormat="1" applyFont="1" applyBorder="1" applyAlignment="1">
      <alignment horizontal="right" vertical="center" wrapText="1"/>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0" xfId="0" applyFont="1" applyAlignment="1"/>
    <xf numFmtId="14" fontId="7" fillId="0" borderId="35" xfId="0" applyNumberFormat="1" applyFont="1" applyBorder="1" applyAlignment="1"/>
    <xf numFmtId="0" fontId="11" fillId="0" borderId="1" xfId="0" applyFont="1" applyBorder="1" applyAlignment="1"/>
    <xf numFmtId="0" fontId="10" fillId="0" borderId="1" xfId="0" applyFont="1" applyBorder="1" applyAlignment="1"/>
    <xf numFmtId="0" fontId="7" fillId="0" borderId="63" xfId="0" applyFont="1" applyBorder="1" applyAlignment="1">
      <alignment horizontal="center" vertical="center" wrapText="1"/>
    </xf>
    <xf numFmtId="0" fontId="7" fillId="0" borderId="63" xfId="0" applyFont="1" applyBorder="1" applyAlignment="1">
      <alignment horizontal="left" vertical="center" wrapText="1"/>
    </xf>
    <xf numFmtId="0" fontId="2" fillId="0" borderId="1" xfId="0" applyFont="1" applyFill="1" applyBorder="1" applyAlignment="1" applyProtection="1">
      <alignment wrapText="1"/>
    </xf>
    <xf numFmtId="0" fontId="6" fillId="0" borderId="1" xfId="0" applyFont="1" applyFill="1" applyBorder="1" applyAlignment="1" applyProtection="1">
      <alignment vertical="center" wrapText="1"/>
    </xf>
    <xf numFmtId="0" fontId="8" fillId="0" borderId="1" xfId="0" applyFont="1" applyFill="1" applyBorder="1" applyAlignment="1" applyProtection="1">
      <alignment vertical="center" wrapText="1"/>
    </xf>
    <xf numFmtId="0" fontId="8" fillId="0" borderId="1" xfId="0" applyFont="1" applyFill="1" applyBorder="1" applyAlignment="1" applyProtection="1">
      <alignment horizontal="center" vertical="center" wrapText="1"/>
    </xf>
    <xf numFmtId="168" fontId="8" fillId="0" borderId="1" xfId="0" applyNumberFormat="1" applyFont="1" applyFill="1" applyBorder="1" applyAlignment="1" applyProtection="1">
      <alignment horizontal="right" vertical="center" wrapText="1"/>
    </xf>
    <xf numFmtId="49" fontId="8" fillId="0" borderId="1" xfId="0" applyNumberFormat="1" applyFont="1" applyFill="1" applyBorder="1" applyAlignment="1" applyProtection="1">
      <alignment horizontal="right" vertical="center" wrapText="1"/>
    </xf>
    <xf numFmtId="168" fontId="12" fillId="0" borderId="1" xfId="0" applyNumberFormat="1" applyFont="1" applyFill="1" applyBorder="1" applyAlignment="1" applyProtection="1">
      <alignment horizontal="right" vertical="center" wrapText="1"/>
    </xf>
    <xf numFmtId="168" fontId="6" fillId="0" borderId="1" xfId="0" applyNumberFormat="1" applyFont="1" applyFill="1" applyBorder="1" applyAlignment="1" applyProtection="1">
      <alignment horizontal="left" vertical="center" wrapText="1"/>
    </xf>
    <xf numFmtId="0" fontId="8" fillId="0" borderId="36" xfId="0" applyFont="1" applyFill="1" applyBorder="1" applyAlignment="1" applyProtection="1">
      <alignment horizontal="right" vertical="center" wrapText="1"/>
    </xf>
    <xf numFmtId="0" fontId="52" fillId="0" borderId="1" xfId="0" applyNumberFormat="1" applyFont="1" applyBorder="1" applyAlignment="1">
      <alignment horizontal="right" vertical="center" wrapText="1"/>
    </xf>
    <xf numFmtId="0" fontId="46" fillId="0" borderId="1" xfId="0" applyFont="1" applyBorder="1" applyAlignment="1">
      <alignment horizontal="right" vertical="center" wrapText="1"/>
    </xf>
    <xf numFmtId="170" fontId="46" fillId="0" borderId="1" xfId="0" applyNumberFormat="1" applyFont="1" applyBorder="1" applyAlignment="1">
      <alignment horizontal="right" vertical="center" wrapText="1"/>
    </xf>
    <xf numFmtId="0" fontId="47" fillId="0" borderId="1" xfId="0" applyNumberFormat="1" applyFont="1" applyFill="1" applyBorder="1" applyAlignment="1">
      <alignment wrapText="1"/>
    </xf>
    <xf numFmtId="0" fontId="47" fillId="0" borderId="1" xfId="0" applyFont="1" applyFill="1" applyBorder="1" applyAlignment="1">
      <alignment wrapText="1"/>
    </xf>
    <xf numFmtId="0" fontId="16" fillId="0" borderId="0" xfId="0" applyFont="1" applyFill="1" applyAlignment="1">
      <alignment wrapText="1"/>
    </xf>
    <xf numFmtId="0" fontId="12" fillId="0" borderId="24" xfId="0" applyFont="1" applyFill="1" applyBorder="1" applyAlignment="1" applyProtection="1">
      <alignment horizontal="center" wrapText="1"/>
      <protection locked="0"/>
    </xf>
    <xf numFmtId="0" fontId="12" fillId="0" borderId="22" xfId="0" applyFont="1" applyFill="1" applyBorder="1" applyAlignment="1" applyProtection="1">
      <alignment horizontal="center" wrapText="1"/>
      <protection locked="0"/>
    </xf>
    <xf numFmtId="0" fontId="12" fillId="0" borderId="22" xfId="0" applyFont="1" applyFill="1" applyBorder="1" applyAlignment="1" applyProtection="1">
      <alignment wrapText="1"/>
      <protection locked="0"/>
    </xf>
    <xf numFmtId="168" fontId="12" fillId="0" borderId="22" xfId="0" applyNumberFormat="1" applyFont="1" applyFill="1" applyBorder="1" applyAlignment="1" applyProtection="1">
      <alignment horizontal="right" wrapText="1"/>
      <protection locked="0"/>
    </xf>
    <xf numFmtId="49" fontId="12" fillId="0" borderId="22" xfId="0" applyNumberFormat="1" applyFont="1" applyFill="1" applyBorder="1" applyAlignment="1" applyProtection="1">
      <alignment horizontal="right" wrapText="1"/>
      <protection locked="0"/>
    </xf>
    <xf numFmtId="168" fontId="12" fillId="0" borderId="22" xfId="0" applyNumberFormat="1" applyFont="1" applyFill="1" applyBorder="1" applyAlignment="1" applyProtection="1">
      <alignment wrapText="1"/>
      <protection locked="0"/>
    </xf>
    <xf numFmtId="0" fontId="12" fillId="0" borderId="27" xfId="0" applyFont="1" applyFill="1" applyBorder="1" applyAlignment="1" applyProtection="1">
      <alignment wrapText="1"/>
      <protection locked="0"/>
    </xf>
    <xf numFmtId="0" fontId="53" fillId="0" borderId="1" xfId="0" applyNumberFormat="1" applyFont="1" applyFill="1" applyBorder="1" applyAlignment="1">
      <alignment wrapText="1"/>
    </xf>
    <xf numFmtId="0" fontId="50" fillId="0" borderId="1" xfId="0" applyFont="1" applyFill="1" applyBorder="1" applyAlignment="1">
      <alignment wrapText="1"/>
    </xf>
    <xf numFmtId="4" fontId="51" fillId="0" borderId="0" xfId="0" applyNumberFormat="1" applyFont="1" applyFill="1" applyAlignment="1">
      <alignment wrapText="1"/>
    </xf>
    <xf numFmtId="4" fontId="17" fillId="0" borderId="0" xfId="0" applyNumberFormat="1" applyFont="1" applyFill="1" applyAlignment="1">
      <alignment wrapText="1"/>
    </xf>
    <xf numFmtId="0" fontId="51" fillId="0" borderId="0" xfId="0" applyFont="1" applyFill="1" applyAlignment="1">
      <alignment wrapText="1"/>
    </xf>
    <xf numFmtId="0" fontId="48" fillId="0" borderId="0" xfId="0" applyFont="1" applyFill="1" applyAlignment="1">
      <alignment wrapText="1"/>
    </xf>
    <xf numFmtId="0" fontId="56" fillId="0" borderId="0" xfId="0" applyFont="1" applyAlignment="1">
      <alignment wrapText="1"/>
    </xf>
    <xf numFmtId="2" fontId="48" fillId="0" borderId="0" xfId="0" applyNumberFormat="1" applyFont="1" applyFill="1" applyAlignment="1">
      <alignment wrapText="1"/>
    </xf>
    <xf numFmtId="0" fontId="7" fillId="0" borderId="37" xfId="0" applyFont="1" applyFill="1" applyBorder="1" applyAlignment="1" applyProtection="1">
      <alignment horizontal="center" wrapText="1"/>
      <protection locked="0"/>
    </xf>
    <xf numFmtId="0" fontId="7" fillId="0" borderId="31" xfId="0" applyFont="1" applyFill="1" applyBorder="1" applyAlignment="1" applyProtection="1">
      <alignment horizontal="center" wrapText="1"/>
      <protection locked="0"/>
    </xf>
    <xf numFmtId="0" fontId="7" fillId="0" borderId="20" xfId="0" applyFont="1" applyFill="1" applyBorder="1" applyAlignment="1" applyProtection="1">
      <alignment vertical="center" wrapText="1"/>
      <protection locked="0"/>
    </xf>
    <xf numFmtId="0" fontId="7" fillId="0" borderId="20" xfId="0" applyFont="1" applyFill="1" applyBorder="1" applyAlignment="1" applyProtection="1">
      <alignment horizontal="center" vertical="center" wrapText="1"/>
      <protection locked="0"/>
    </xf>
    <xf numFmtId="168" fontId="7" fillId="0" borderId="20" xfId="0" applyNumberFormat="1" applyFont="1" applyFill="1" applyBorder="1" applyAlignment="1" applyProtection="1">
      <alignment horizontal="right" vertical="center" wrapText="1"/>
      <protection locked="0"/>
    </xf>
    <xf numFmtId="49" fontId="7" fillId="0" borderId="20" xfId="0" applyNumberFormat="1" applyFont="1" applyFill="1" applyBorder="1" applyAlignment="1" applyProtection="1">
      <alignment horizontal="right" vertical="center" wrapText="1"/>
      <protection locked="0"/>
    </xf>
    <xf numFmtId="0" fontId="7" fillId="0" borderId="24" xfId="0" applyFont="1" applyFill="1" applyBorder="1" applyAlignment="1" applyProtection="1">
      <alignment horizontal="center" wrapText="1"/>
      <protection locked="0"/>
    </xf>
    <xf numFmtId="0" fontId="7" fillId="0" borderId="22" xfId="0" applyFont="1" applyFill="1" applyBorder="1" applyAlignment="1" applyProtection="1">
      <alignment horizontal="center" wrapText="1"/>
      <protection locked="0"/>
    </xf>
    <xf numFmtId="0" fontId="7" fillId="0" borderId="22" xfId="0" applyFont="1" applyFill="1" applyBorder="1" applyAlignment="1" applyProtection="1">
      <alignment vertical="center" wrapText="1"/>
      <protection locked="0"/>
    </xf>
    <xf numFmtId="0" fontId="14" fillId="0" borderId="1" xfId="0" applyFont="1" applyFill="1" applyBorder="1" applyAlignment="1">
      <alignment wrapText="1"/>
    </xf>
    <xf numFmtId="2" fontId="3" fillId="0" borderId="0" xfId="0" applyNumberFormat="1" applyFont="1" applyAlignment="1">
      <alignment wrapText="1"/>
    </xf>
    <xf numFmtId="0" fontId="58" fillId="0" borderId="0" xfId="0" applyFont="1" applyAlignment="1">
      <alignment wrapText="1"/>
    </xf>
    <xf numFmtId="4" fontId="58" fillId="0" borderId="0" xfId="0" applyNumberFormat="1" applyFont="1" applyAlignment="1">
      <alignment wrapText="1"/>
    </xf>
    <xf numFmtId="0" fontId="59" fillId="0" borderId="0" xfId="0" applyFont="1" applyAlignment="1">
      <alignment wrapText="1"/>
    </xf>
    <xf numFmtId="2" fontId="59" fillId="0" borderId="0" xfId="0" applyNumberFormat="1" applyFont="1" applyAlignment="1">
      <alignment wrapText="1"/>
    </xf>
    <xf numFmtId="0" fontId="7" fillId="0" borderId="39" xfId="0" applyFont="1" applyFill="1" applyBorder="1" applyAlignment="1" applyProtection="1">
      <alignment horizontal="center" wrapText="1"/>
      <protection locked="0"/>
    </xf>
    <xf numFmtId="0" fontId="7" fillId="0" borderId="32" xfId="0" applyFont="1" applyFill="1" applyBorder="1" applyAlignment="1" applyProtection="1">
      <alignment horizontal="center" wrapText="1"/>
      <protection locked="0"/>
    </xf>
    <xf numFmtId="0" fontId="7" fillId="0" borderId="3" xfId="0" applyFont="1" applyFill="1" applyBorder="1" applyAlignment="1" applyProtection="1">
      <alignment vertical="center" wrapText="1"/>
      <protection locked="0"/>
    </xf>
    <xf numFmtId="0" fontId="7" fillId="0" borderId="3" xfId="0" applyFont="1" applyFill="1" applyBorder="1" applyAlignment="1" applyProtection="1">
      <alignment horizontal="center" vertical="center" wrapText="1"/>
      <protection locked="0"/>
    </xf>
    <xf numFmtId="49" fontId="7" fillId="0" borderId="3" xfId="0" applyNumberFormat="1" applyFont="1" applyFill="1" applyBorder="1" applyAlignment="1" applyProtection="1">
      <alignment horizontal="right" vertical="center" wrapText="1"/>
      <protection locked="0"/>
    </xf>
    <xf numFmtId="0" fontId="55" fillId="0" borderId="0" xfId="0" applyFont="1" applyAlignment="1">
      <alignment wrapText="1"/>
    </xf>
    <xf numFmtId="4" fontId="55" fillId="0" borderId="0" xfId="0" applyNumberFormat="1" applyFont="1" applyAlignment="1">
      <alignment wrapText="1"/>
    </xf>
    <xf numFmtId="2" fontId="57" fillId="0" borderId="0" xfId="0" applyNumberFormat="1" applyFont="1" applyAlignment="1">
      <alignment wrapText="1"/>
    </xf>
    <xf numFmtId="2" fontId="7" fillId="0" borderId="1" xfId="0" applyNumberFormat="1" applyFont="1" applyBorder="1" applyAlignment="1">
      <alignment horizontal="center" vertical="center" wrapText="1"/>
    </xf>
    <xf numFmtId="49" fontId="12" fillId="0" borderId="22" xfId="0" applyNumberFormat="1" applyFont="1" applyFill="1" applyBorder="1" applyAlignment="1" applyProtection="1">
      <alignment horizontal="center" vertical="center" wrapText="1"/>
      <protection locked="0"/>
    </xf>
    <xf numFmtId="0" fontId="7" fillId="0" borderId="24" xfId="0" applyFont="1" applyFill="1" applyBorder="1" applyAlignment="1" applyProtection="1">
      <alignment wrapText="1"/>
      <protection locked="0"/>
    </xf>
    <xf numFmtId="0" fontId="7" fillId="0" borderId="22" xfId="0" applyFont="1" applyFill="1" applyBorder="1" applyAlignment="1" applyProtection="1">
      <alignment wrapText="1"/>
      <protection locked="0"/>
    </xf>
    <xf numFmtId="0" fontId="47"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35" xfId="0" applyFont="1" applyFill="1" applyBorder="1" applyAlignment="1" applyProtection="1">
      <alignment wrapText="1"/>
      <protection locked="0"/>
    </xf>
    <xf numFmtId="0" fontId="2" fillId="0" borderId="1" xfId="0" applyFont="1" applyFill="1" applyBorder="1" applyAlignment="1" applyProtection="1">
      <alignment horizontal="center" vertical="center" wrapText="1"/>
      <protection locked="0"/>
    </xf>
    <xf numFmtId="168" fontId="2" fillId="0" borderId="1" xfId="0" applyNumberFormat="1" applyFont="1" applyFill="1" applyBorder="1" applyAlignment="1" applyProtection="1">
      <alignment horizontal="right" vertical="center" wrapText="1"/>
      <protection locked="0"/>
    </xf>
    <xf numFmtId="49" fontId="2" fillId="0" borderId="1" xfId="0" applyNumberFormat="1" applyFont="1" applyFill="1" applyBorder="1" applyAlignment="1" applyProtection="1">
      <alignment horizontal="right" vertical="center" wrapText="1"/>
      <protection locked="0"/>
    </xf>
    <xf numFmtId="168" fontId="2" fillId="0" borderId="1" xfId="0" applyNumberFormat="1" applyFont="1" applyFill="1" applyBorder="1" applyAlignment="1" applyProtection="1">
      <alignment horizontal="right" wrapText="1"/>
      <protection locked="0"/>
    </xf>
    <xf numFmtId="0" fontId="2" fillId="0" borderId="36" xfId="0" applyFont="1" applyFill="1" applyBorder="1" applyAlignment="1" applyProtection="1">
      <alignment horizontal="right"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right" vertical="center" wrapText="1"/>
      <protection locked="0"/>
    </xf>
    <xf numFmtId="168" fontId="7" fillId="0" borderId="1" xfId="0" applyNumberFormat="1" applyFont="1" applyFill="1" applyBorder="1" applyAlignment="1" applyProtection="1">
      <alignment horizontal="right" wrapText="1"/>
      <protection locked="0"/>
    </xf>
    <xf numFmtId="49" fontId="7" fillId="0" borderId="1" xfId="0" applyNumberFormat="1" applyFont="1" applyFill="1" applyBorder="1" applyAlignment="1" applyProtection="1">
      <alignment horizontal="right" wrapText="1"/>
      <protection locked="0"/>
    </xf>
    <xf numFmtId="0" fontId="7" fillId="0" borderId="35" xfId="0" applyFont="1" applyFill="1" applyBorder="1" applyAlignment="1" applyProtection="1">
      <alignment wrapText="1"/>
      <protection locked="0"/>
    </xf>
    <xf numFmtId="0" fontId="2" fillId="0" borderId="41" xfId="0" applyFont="1" applyFill="1" applyBorder="1" applyAlignment="1" applyProtection="1">
      <alignment wrapText="1"/>
      <protection locked="0"/>
    </xf>
    <xf numFmtId="0" fontId="2" fillId="0" borderId="42" xfId="0" applyFont="1" applyFill="1" applyBorder="1" applyAlignment="1" applyProtection="1">
      <alignment wrapText="1"/>
      <protection locked="0"/>
    </xf>
    <xf numFmtId="0" fontId="2" fillId="0" borderId="42" xfId="0" applyFont="1" applyFill="1" applyBorder="1" applyAlignment="1" applyProtection="1">
      <alignment horizontal="center" wrapText="1"/>
      <protection locked="0"/>
    </xf>
    <xf numFmtId="168" fontId="2" fillId="0" borderId="42" xfId="0" applyNumberFormat="1" applyFont="1" applyFill="1" applyBorder="1" applyAlignment="1" applyProtection="1">
      <alignment horizontal="right" wrapText="1"/>
      <protection locked="0"/>
    </xf>
    <xf numFmtId="49" fontId="2" fillId="0" borderId="42" xfId="0" applyNumberFormat="1" applyFont="1" applyFill="1" applyBorder="1" applyAlignment="1" applyProtection="1">
      <alignment horizontal="right" wrapText="1"/>
      <protection locked="0"/>
    </xf>
    <xf numFmtId="168" fontId="2" fillId="0" borderId="42" xfId="0" applyNumberFormat="1" applyFont="1" applyFill="1" applyBorder="1" applyAlignment="1" applyProtection="1">
      <alignment wrapText="1"/>
      <protection locked="0"/>
    </xf>
    <xf numFmtId="0" fontId="2" fillId="0" borderId="43" xfId="0" applyFont="1" applyFill="1" applyBorder="1" applyAlignment="1" applyProtection="1">
      <alignment wrapText="1"/>
      <protection locked="0"/>
    </xf>
    <xf numFmtId="168" fontId="2" fillId="0" borderId="0" xfId="0" applyNumberFormat="1" applyFont="1" applyAlignment="1">
      <alignment horizontal="right" wrapText="1"/>
    </xf>
    <xf numFmtId="49" fontId="2" fillId="0" borderId="0" xfId="0" applyNumberFormat="1" applyFont="1" applyAlignment="1">
      <alignment horizontal="right" wrapText="1"/>
    </xf>
    <xf numFmtId="168" fontId="2" fillId="0" borderId="0" xfId="0" applyNumberFormat="1" applyFont="1" applyAlignment="1">
      <alignment wrapText="1"/>
    </xf>
    <xf numFmtId="0" fontId="7" fillId="0" borderId="0" xfId="0" applyFont="1" applyAlignment="1">
      <alignment horizontal="center" vertical="center" wrapText="1"/>
    </xf>
    <xf numFmtId="168"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8" fontId="7" fillId="0" borderId="0" xfId="0" applyNumberFormat="1" applyFont="1" applyAlignment="1">
      <alignment horizontal="right" wrapText="1"/>
    </xf>
    <xf numFmtId="0" fontId="2" fillId="0" borderId="0" xfId="0" applyFont="1" applyAlignment="1">
      <alignment horizontal="center" vertical="center" wrapText="1"/>
    </xf>
    <xf numFmtId="168"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7" fillId="0" borderId="0" xfId="0" applyFont="1" applyAlignment="1">
      <alignment wrapText="1"/>
    </xf>
    <xf numFmtId="0" fontId="47"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1" xfId="0" applyFont="1" applyFill="1" applyBorder="1" applyAlignment="1" applyProtection="1">
      <protection locked="0"/>
    </xf>
    <xf numFmtId="0" fontId="16" fillId="0" borderId="0" xfId="0" applyFont="1" applyAlignment="1"/>
    <xf numFmtId="0" fontId="38" fillId="0" borderId="1" xfId="0" applyFont="1" applyBorder="1" applyAlignment="1">
      <alignment wrapText="1"/>
    </xf>
    <xf numFmtId="0" fontId="16" fillId="0" borderId="1" xfId="0" applyFont="1" applyBorder="1" applyAlignment="1">
      <alignment horizontal="center" vertical="center"/>
    </xf>
    <xf numFmtId="2" fontId="16" fillId="0" borderId="1" xfId="0" applyNumberFormat="1" applyFont="1" applyBorder="1" applyAlignment="1">
      <alignment horizontal="center" vertical="center"/>
    </xf>
    <xf numFmtId="0" fontId="5" fillId="0" borderId="1" xfId="0" applyFont="1" applyBorder="1" applyAlignment="1">
      <alignment horizontal="center"/>
    </xf>
    <xf numFmtId="2" fontId="2" fillId="0" borderId="0" xfId="0" applyNumberFormat="1" applyFont="1" applyAlignment="1">
      <alignment wrapText="1"/>
    </xf>
    <xf numFmtId="0" fontId="0" fillId="0" borderId="0" xfId="0"/>
    <xf numFmtId="0" fontId="60" fillId="0" borderId="0" xfId="0" applyFont="1" applyAlignment="1"/>
    <xf numFmtId="0" fontId="60" fillId="0" borderId="1" xfId="0" applyFont="1" applyBorder="1" applyAlignment="1"/>
    <xf numFmtId="2" fontId="60" fillId="0" borderId="1" xfId="0" applyNumberFormat="1" applyFont="1" applyBorder="1" applyAlignment="1">
      <alignment horizontal="center" vertical="center"/>
    </xf>
    <xf numFmtId="0" fontId="60" fillId="0" borderId="1" xfId="0" applyNumberFormat="1" applyFont="1" applyBorder="1" applyAlignment="1">
      <alignment horizontal="right" vertical="center" wrapText="1"/>
    </xf>
    <xf numFmtId="49" fontId="10" fillId="0" borderId="7" xfId="0" applyNumberFormat="1" applyFont="1" applyFill="1" applyBorder="1" applyAlignment="1">
      <alignment horizontal="center" vertical="center"/>
    </xf>
    <xf numFmtId="0" fontId="36" fillId="0" borderId="1" xfId="0" applyFont="1" applyBorder="1" applyAlignment="1">
      <alignment horizontal="left" vertical="center"/>
    </xf>
    <xf numFmtId="164" fontId="10" fillId="0" borderId="1" xfId="2" applyFont="1" applyFill="1" applyBorder="1" applyAlignment="1">
      <alignment horizontal="center"/>
    </xf>
    <xf numFmtId="164" fontId="10" fillId="0" borderId="8" xfId="2" applyFont="1" applyFill="1" applyBorder="1" applyAlignment="1">
      <alignment horizontal="center"/>
    </xf>
    <xf numFmtId="0" fontId="1" fillId="0" borderId="1" xfId="0" applyFont="1" applyFill="1" applyBorder="1" applyAlignment="1">
      <alignment vertical="center"/>
    </xf>
    <xf numFmtId="0" fontId="8" fillId="2" borderId="35" xfId="0" applyFont="1" applyFill="1" applyBorder="1" applyAlignment="1">
      <alignment horizontal="right"/>
    </xf>
    <xf numFmtId="0" fontId="8" fillId="2" borderId="1" xfId="0" applyFont="1" applyFill="1" applyBorder="1" applyAlignment="1">
      <alignment horizontal="right"/>
    </xf>
    <xf numFmtId="167" fontId="8" fillId="2" borderId="1" xfId="0" applyNumberFormat="1" applyFont="1" applyFill="1" applyBorder="1"/>
    <xf numFmtId="49" fontId="10" fillId="0" borderId="7" xfId="0" applyNumberFormat="1" applyFont="1" applyFill="1" applyBorder="1" applyAlignment="1">
      <alignment horizontal="center"/>
    </xf>
    <xf numFmtId="164" fontId="10" fillId="0" borderId="1" xfId="2" applyFont="1" applyFill="1" applyBorder="1" applyAlignment="1"/>
    <xf numFmtId="164" fontId="10" fillId="0" borderId="8" xfId="2" applyFont="1" applyFill="1" applyBorder="1" applyAlignment="1"/>
    <xf numFmtId="0" fontId="36" fillId="0" borderId="16" xfId="0" applyFont="1" applyBorder="1" applyAlignment="1">
      <alignment horizontal="center" vertical="center" wrapText="1"/>
    </xf>
    <xf numFmtId="0" fontId="36" fillId="0" borderId="13" xfId="0" applyFont="1" applyBorder="1" applyAlignment="1">
      <alignment horizontal="center" vertical="center" wrapText="1"/>
    </xf>
    <xf numFmtId="49" fontId="10" fillId="0" borderId="17" xfId="0" applyNumberFormat="1" applyFont="1" applyFill="1" applyBorder="1" applyAlignment="1">
      <alignment horizontal="center" vertical="center" wrapText="1"/>
    </xf>
    <xf numFmtId="0" fontId="36" fillId="0" borderId="18" xfId="0" applyFont="1" applyBorder="1" applyAlignment="1">
      <alignment horizontal="center" vertical="center" wrapText="1"/>
    </xf>
    <xf numFmtId="0" fontId="10" fillId="0" borderId="14" xfId="0" applyFont="1" applyFill="1" applyBorder="1" applyAlignment="1">
      <alignment horizontal="center" vertical="center" wrapText="1"/>
    </xf>
    <xf numFmtId="2" fontId="52" fillId="0" borderId="1" xfId="0" applyNumberFormat="1" applyFont="1" applyBorder="1" applyAlignment="1">
      <alignment horizontal="right" vertical="center"/>
    </xf>
    <xf numFmtId="2" fontId="47" fillId="0" borderId="1" xfId="0" applyNumberFormat="1" applyFont="1" applyFill="1" applyBorder="1" applyAlignment="1" applyProtection="1">
      <protection locked="0"/>
    </xf>
    <xf numFmtId="2" fontId="38" fillId="0" borderId="1" xfId="0" applyNumberFormat="1" applyFont="1" applyBorder="1" applyAlignment="1" applyProtection="1">
      <alignment horizontal="center" vertical="center"/>
      <protection locked="0"/>
    </xf>
    <xf numFmtId="2" fontId="53" fillId="0" borderId="1" xfId="0" applyNumberFormat="1" applyFont="1" applyFill="1" applyBorder="1" applyAlignment="1" applyProtection="1">
      <protection locked="0"/>
    </xf>
    <xf numFmtId="2" fontId="16" fillId="0" borderId="1" xfId="0" applyNumberFormat="1" applyFont="1" applyFill="1" applyBorder="1" applyAlignment="1" applyProtection="1">
      <alignment horizontal="right" vertical="center"/>
      <protection locked="0"/>
    </xf>
    <xf numFmtId="9" fontId="38" fillId="0" borderId="1" xfId="3" applyFont="1" applyFill="1" applyBorder="1" applyAlignment="1" applyProtection="1">
      <alignment horizontal="left" vertical="center"/>
      <protection locked="0"/>
    </xf>
    <xf numFmtId="2" fontId="38" fillId="0" borderId="1" xfId="0" applyNumberFormat="1" applyFont="1" applyFill="1" applyBorder="1" applyAlignment="1" applyProtection="1">
      <alignment horizontal="right" vertical="center"/>
      <protection locked="0"/>
    </xf>
    <xf numFmtId="2" fontId="38" fillId="0" borderId="1" xfId="0" applyNumberFormat="1" applyFont="1" applyFill="1" applyBorder="1" applyAlignment="1" applyProtection="1">
      <alignment horizontal="left" vertical="center"/>
      <protection locked="0"/>
    </xf>
    <xf numFmtId="2" fontId="38" fillId="0" borderId="1" xfId="0" applyNumberFormat="1" applyFont="1" applyBorder="1" applyAlignment="1" applyProtection="1">
      <alignment horizontal="right" vertical="center"/>
      <protection locked="0"/>
    </xf>
    <xf numFmtId="2" fontId="58" fillId="0" borderId="1" xfId="0" applyNumberFormat="1" applyFont="1" applyBorder="1" applyAlignment="1" applyProtection="1">
      <alignment horizontal="right" vertical="center"/>
      <protection locked="0"/>
    </xf>
    <xf numFmtId="2" fontId="16" fillId="0" borderId="1" xfId="0" applyNumberFormat="1" applyFont="1" applyBorder="1" applyAlignment="1" applyProtection="1">
      <alignment horizontal="right" vertical="center"/>
      <protection locked="0"/>
    </xf>
    <xf numFmtId="2" fontId="55" fillId="0" borderId="1"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7" fillId="0" borderId="0" xfId="0" applyNumberFormat="1" applyFont="1" applyAlignment="1"/>
    <xf numFmtId="0" fontId="37" fillId="6" borderId="2" xfId="0" applyFont="1" applyFill="1" applyBorder="1" applyAlignment="1">
      <alignment horizontal="center" vertical="center" wrapText="1"/>
    </xf>
    <xf numFmtId="2" fontId="16" fillId="0" borderId="1" xfId="0" applyNumberFormat="1" applyFont="1" applyFill="1" applyBorder="1" applyAlignment="1" applyProtection="1">
      <alignment horizontal="right" vertical="center" wrapText="1"/>
      <protection locked="0"/>
    </xf>
    <xf numFmtId="0" fontId="18" fillId="0" borderId="29" xfId="0" applyFont="1" applyBorder="1" applyAlignment="1">
      <alignment vertical="center" wrapText="1"/>
    </xf>
    <xf numFmtId="0" fontId="18" fillId="0" borderId="1" xfId="0" applyFont="1" applyBorder="1" applyAlignment="1">
      <alignment vertical="center" wrapText="1"/>
    </xf>
    <xf numFmtId="0" fontId="19" fillId="0" borderId="1" xfId="0" applyFont="1" applyBorder="1" applyAlignment="1">
      <alignment wrapText="1"/>
    </xf>
    <xf numFmtId="0" fontId="5" fillId="0" borderId="1" xfId="0" applyFont="1" applyBorder="1" applyAlignment="1">
      <alignment wrapText="1"/>
    </xf>
    <xf numFmtId="0" fontId="12" fillId="0" borderId="1" xfId="0" applyFont="1" applyFill="1" applyBorder="1" applyAlignment="1">
      <alignment horizontal="left" wrapText="1"/>
    </xf>
    <xf numFmtId="0" fontId="12" fillId="0" borderId="1" xfId="0" applyFont="1" applyFill="1" applyBorder="1" applyAlignment="1">
      <alignment horizontal="right" wrapText="1"/>
    </xf>
    <xf numFmtId="0" fontId="5" fillId="0" borderId="42" xfId="0" applyFont="1" applyBorder="1" applyAlignment="1">
      <alignment wrapText="1"/>
    </xf>
    <xf numFmtId="2" fontId="7" fillId="0" borderId="13" xfId="0" applyNumberFormat="1" applyFont="1" applyFill="1" applyBorder="1" applyAlignment="1">
      <alignment horizontal="center" vertical="center" wrapText="1"/>
    </xf>
    <xf numFmtId="0" fontId="21" fillId="0" borderId="2" xfId="0" applyFont="1" applyBorder="1" applyAlignment="1">
      <alignment horizontal="center" vertical="center" wrapText="1"/>
    </xf>
    <xf numFmtId="167" fontId="6" fillId="0" borderId="2" xfId="0" applyNumberFormat="1" applyFont="1" applyBorder="1" applyAlignment="1">
      <alignment horizontal="right" vertical="center"/>
    </xf>
    <xf numFmtId="0" fontId="22" fillId="0" borderId="1" xfId="0" applyFont="1" applyFill="1" applyBorder="1" applyAlignment="1">
      <alignment wrapText="1"/>
    </xf>
    <xf numFmtId="0" fontId="5" fillId="0" borderId="1" xfId="0" applyFont="1" applyFill="1" applyBorder="1" applyAlignment="1">
      <alignment horizontal="center" vertical="center"/>
    </xf>
    <xf numFmtId="2" fontId="60" fillId="0" borderId="1"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0" fontId="5" fillId="0" borderId="0" xfId="0" applyFont="1" applyFill="1" applyAlignment="1"/>
    <xf numFmtId="168" fontId="7" fillId="0" borderId="13" xfId="0" applyNumberFormat="1" applyFont="1" applyFill="1" applyBorder="1" applyAlignment="1" applyProtection="1">
      <alignment horizontal="center" vertical="center" wrapText="1"/>
      <protection locked="0"/>
    </xf>
    <xf numFmtId="0" fontId="11" fillId="0" borderId="1" xfId="0" applyFont="1" applyFill="1" applyBorder="1" applyAlignment="1">
      <alignment wrapText="1"/>
    </xf>
    <xf numFmtId="0" fontId="7" fillId="0" borderId="1" xfId="0" applyFont="1" applyFill="1" applyBorder="1" applyAlignment="1">
      <alignment horizontal="center" vertical="center"/>
    </xf>
    <xf numFmtId="0" fontId="7" fillId="0" borderId="0" xfId="0" applyFont="1" applyFill="1" applyAlignment="1"/>
    <xf numFmtId="0" fontId="25" fillId="0" borderId="0" xfId="0" applyFont="1" applyAlignment="1">
      <alignment horizontal="right" wrapText="1"/>
    </xf>
    <xf numFmtId="2" fontId="25" fillId="0" borderId="0" xfId="0" applyNumberFormat="1" applyFont="1" applyAlignment="1">
      <alignment horizontal="right"/>
    </xf>
    <xf numFmtId="0" fontId="25" fillId="0" borderId="0" xfId="0" applyNumberFormat="1" applyFont="1" applyAlignment="1">
      <alignment horizontal="right" wrapText="1"/>
    </xf>
    <xf numFmtId="0" fontId="12" fillId="0" borderId="24"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0" fontId="12" fillId="0" borderId="22" xfId="0" applyFont="1" applyBorder="1" applyAlignment="1" applyProtection="1">
      <alignment vertical="center" wrapText="1"/>
      <protection locked="0"/>
    </xf>
    <xf numFmtId="0" fontId="6" fillId="0" borderId="22" xfId="0" applyFont="1" applyBorder="1" applyAlignment="1" applyProtection="1">
      <alignment horizontal="center" vertical="center" wrapText="1"/>
      <protection locked="0"/>
    </xf>
    <xf numFmtId="168" fontId="6" fillId="0" borderId="22" xfId="0" applyNumberFormat="1" applyFont="1" applyBorder="1" applyAlignment="1" applyProtection="1">
      <alignment horizontal="right" vertical="center" wrapText="1"/>
      <protection locked="0"/>
    </xf>
    <xf numFmtId="49" fontId="6" fillId="0" borderId="22" xfId="0" applyNumberFormat="1" applyFont="1" applyBorder="1" applyAlignment="1" applyProtection="1">
      <alignment horizontal="right" vertical="center" wrapText="1"/>
      <protection locked="0"/>
    </xf>
    <xf numFmtId="0" fontId="6" fillId="0" borderId="27" xfId="0" applyFont="1" applyBorder="1" applyAlignment="1" applyProtection="1">
      <alignment horizontal="right" vertical="center" wrapText="1"/>
      <protection locked="0"/>
    </xf>
    <xf numFmtId="2" fontId="16" fillId="0" borderId="1" xfId="0" applyNumberFormat="1" applyFont="1" applyBorder="1" applyAlignment="1" applyProtection="1">
      <alignment horizontal="right" vertical="center" wrapText="1"/>
      <protection locked="0"/>
    </xf>
    <xf numFmtId="0" fontId="16" fillId="0" borderId="1" xfId="0" applyFont="1" applyBorder="1" applyAlignment="1">
      <alignment horizontal="right" vertical="center" wrapText="1"/>
    </xf>
    <xf numFmtId="0" fontId="0" fillId="0" borderId="0" xfId="0" applyAlignment="1">
      <alignment wrapText="1"/>
    </xf>
    <xf numFmtId="0" fontId="7" fillId="0" borderId="13" xfId="0" applyFont="1" applyBorder="1" applyAlignment="1" applyProtection="1">
      <alignment horizontal="center" vertical="center" wrapText="1"/>
      <protection locked="0"/>
    </xf>
    <xf numFmtId="168" fontId="7" fillId="0" borderId="13" xfId="0" applyNumberFormat="1" applyFont="1" applyBorder="1" applyAlignment="1" applyProtection="1">
      <alignment horizontal="right" vertical="center" wrapText="1"/>
      <protection locked="0"/>
    </xf>
    <xf numFmtId="49" fontId="7" fillId="0" borderId="13" xfId="0" applyNumberFormat="1" applyFont="1" applyBorder="1" applyAlignment="1" applyProtection="1">
      <alignment horizontal="right" vertical="center" wrapText="1"/>
      <protection locked="0"/>
    </xf>
    <xf numFmtId="10" fontId="7" fillId="0" borderId="13" xfId="0" applyNumberFormat="1" applyFont="1" applyBorder="1" applyAlignment="1" applyProtection="1">
      <alignment horizontal="right" vertical="center" wrapText="1"/>
      <protection locked="0"/>
    </xf>
    <xf numFmtId="0" fontId="7" fillId="0" borderId="37"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20" xfId="0" applyFont="1" applyBorder="1" applyAlignment="1" applyProtection="1">
      <alignment vertical="center" wrapText="1"/>
      <protection locked="0"/>
    </xf>
    <xf numFmtId="0" fontId="7" fillId="0" borderId="20" xfId="0" applyFont="1" applyBorder="1" applyAlignment="1" applyProtection="1">
      <alignment horizontal="center" vertical="center" wrapText="1"/>
      <protection locked="0"/>
    </xf>
    <xf numFmtId="168" fontId="7" fillId="0" borderId="20" xfId="0" applyNumberFormat="1" applyFont="1" applyBorder="1" applyAlignment="1" applyProtection="1">
      <alignment horizontal="right" vertical="center" wrapText="1"/>
      <protection locked="0"/>
    </xf>
    <xf numFmtId="49" fontId="7" fillId="0" borderId="20" xfId="0" applyNumberFormat="1" applyFont="1" applyBorder="1" applyAlignment="1" applyProtection="1">
      <alignment horizontal="right" vertical="center" wrapText="1"/>
      <protection locked="0"/>
    </xf>
    <xf numFmtId="168" fontId="11" fillId="0" borderId="20" xfId="0" applyNumberFormat="1" applyFont="1" applyBorder="1" applyAlignment="1" applyProtection="1">
      <alignment horizontal="right" vertical="center" wrapText="1"/>
      <protection locked="0"/>
    </xf>
    <xf numFmtId="10" fontId="11" fillId="0" borderId="38" xfId="0" applyNumberFormat="1" applyFont="1" applyBorder="1" applyAlignment="1" applyProtection="1">
      <alignment horizontal="right" vertical="center" wrapText="1"/>
      <protection locked="0"/>
    </xf>
    <xf numFmtId="0" fontId="12" fillId="0" borderId="1" xfId="0" applyFont="1" applyFill="1" applyBorder="1" applyAlignment="1" applyProtection="1">
      <alignment wrapText="1"/>
      <protection locked="0"/>
    </xf>
    <xf numFmtId="168" fontId="16" fillId="0" borderId="13" xfId="0" applyNumberFormat="1" applyFont="1" applyFill="1" applyBorder="1" applyAlignment="1" applyProtection="1">
      <alignment horizontal="center" vertical="center" wrapText="1"/>
      <protection locked="0"/>
    </xf>
    <xf numFmtId="2" fontId="7" fillId="0" borderId="1" xfId="0" applyNumberFormat="1" applyFont="1" applyBorder="1" applyAlignment="1" applyProtection="1">
      <alignment horizontal="right" vertical="center" wrapText="1"/>
      <protection locked="0"/>
    </xf>
    <xf numFmtId="0" fontId="36" fillId="0" borderId="13" xfId="0" applyFont="1" applyBorder="1" applyAlignment="1">
      <alignment horizontal="center" vertical="center"/>
    </xf>
    <xf numFmtId="0" fontId="10" fillId="0" borderId="13" xfId="0" applyFont="1" applyBorder="1" applyAlignment="1">
      <alignment horizontal="center"/>
    </xf>
    <xf numFmtId="0" fontId="36" fillId="0" borderId="13" xfId="0" applyFont="1" applyBorder="1" applyAlignment="1">
      <alignment horizontal="center"/>
    </xf>
    <xf numFmtId="0" fontId="10" fillId="0" borderId="14" xfId="0" applyFont="1" applyBorder="1" applyAlignment="1">
      <alignment horizontal="center"/>
    </xf>
    <xf numFmtId="0" fontId="36" fillId="0" borderId="13" xfId="0" applyFont="1" applyFill="1" applyBorder="1" applyAlignment="1">
      <alignment horizontal="center" vertical="center" wrapText="1"/>
    </xf>
    <xf numFmtId="2" fontId="7" fillId="0" borderId="1" xfId="0" applyNumberFormat="1" applyFont="1" applyFill="1" applyBorder="1" applyAlignment="1">
      <alignment horizontal="center" vertical="center"/>
    </xf>
    <xf numFmtId="49" fontId="10" fillId="0" borderId="19" xfId="0" applyNumberFormat="1" applyFont="1" applyFill="1" applyBorder="1" applyAlignment="1">
      <alignment horizontal="center" vertical="center" wrapText="1"/>
    </xf>
    <xf numFmtId="2" fontId="55" fillId="0" borderId="1" xfId="0" applyNumberFormat="1" applyFont="1" applyBorder="1" applyAlignment="1" applyProtection="1">
      <alignment horizontal="right" vertical="center" wrapText="1"/>
      <protection locked="0"/>
    </xf>
    <xf numFmtId="164" fontId="8" fillId="0" borderId="12" xfId="2" applyFont="1" applyFill="1" applyBorder="1" applyAlignment="1">
      <alignment horizontal="center" vertical="center"/>
    </xf>
    <xf numFmtId="10" fontId="11" fillId="0" borderId="1" xfId="0" applyNumberFormat="1" applyFont="1" applyFill="1" applyBorder="1" applyAlignment="1" applyProtection="1">
      <alignment horizontal="right" vertical="center" wrapText="1"/>
      <protection locked="0"/>
    </xf>
    <xf numFmtId="10" fontId="11" fillId="0" borderId="1" xfId="0" applyNumberFormat="1" applyFont="1" applyBorder="1" applyAlignment="1" applyProtection="1">
      <alignment horizontal="right" vertical="center" wrapText="1"/>
      <protection locked="0"/>
    </xf>
    <xf numFmtId="0" fontId="13" fillId="0" borderId="0" xfId="0" applyFont="1" applyAlignment="1">
      <alignment wrapText="1"/>
    </xf>
    <xf numFmtId="0" fontId="13" fillId="0" borderId="0" xfId="0" applyFont="1" applyAlignment="1">
      <alignment horizontal="right" wrapText="1"/>
    </xf>
    <xf numFmtId="0" fontId="13" fillId="0" borderId="1" xfId="0" applyFont="1" applyBorder="1" applyAlignment="1"/>
    <xf numFmtId="0" fontId="8" fillId="0" borderId="1" xfId="0" applyFont="1" applyBorder="1" applyAlignment="1">
      <alignment horizontal="right" vertical="center" wrapText="1"/>
    </xf>
    <xf numFmtId="0" fontId="13" fillId="0" borderId="1" xfId="0" applyFont="1" applyFill="1" applyBorder="1" applyAlignment="1" applyProtection="1">
      <alignment wrapText="1"/>
      <protection locked="0"/>
    </xf>
    <xf numFmtId="4" fontId="11"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right" vertical="center" wrapText="1"/>
      <protection locked="0"/>
    </xf>
    <xf numFmtId="0" fontId="13" fillId="0" borderId="0" xfId="0" applyFont="1" applyAlignment="1">
      <alignment horizontal="right"/>
    </xf>
    <xf numFmtId="0" fontId="39" fillId="0" borderId="1" xfId="0" applyFont="1" applyBorder="1" applyAlignment="1">
      <alignment horizontal="left" vertical="center"/>
    </xf>
    <xf numFmtId="0" fontId="12" fillId="0" borderId="1" xfId="0" applyFont="1" applyFill="1" applyBorder="1" applyAlignment="1">
      <alignment horizontal="center"/>
    </xf>
    <xf numFmtId="0" fontId="33" fillId="0" borderId="0" xfId="0" applyFont="1" applyAlignment="1"/>
    <xf numFmtId="0" fontId="33" fillId="0" borderId="41" xfId="0" applyFont="1" applyBorder="1" applyAlignment="1"/>
    <xf numFmtId="172" fontId="10" fillId="0" borderId="2" xfId="0" applyNumberFormat="1" applyFont="1" applyBorder="1"/>
    <xf numFmtId="10" fontId="10" fillId="0" borderId="2" xfId="0" applyNumberFormat="1" applyFont="1" applyBorder="1"/>
    <xf numFmtId="0" fontId="7" fillId="0" borderId="42" xfId="0" applyFont="1" applyBorder="1" applyAlignment="1">
      <alignment vertical="center" wrapText="1"/>
    </xf>
    <xf numFmtId="0" fontId="22" fillId="0" borderId="1" xfId="0" applyFont="1" applyBorder="1" applyAlignment="1"/>
    <xf numFmtId="168" fontId="7" fillId="0" borderId="15" xfId="0" applyNumberFormat="1" applyFont="1" applyFill="1" applyBorder="1" applyAlignment="1" applyProtection="1">
      <alignment horizontal="center" vertical="center" wrapText="1"/>
      <protection locked="0"/>
    </xf>
    <xf numFmtId="0" fontId="7" fillId="0" borderId="34" xfId="0" applyFont="1" applyFill="1" applyBorder="1" applyAlignment="1">
      <alignment horizontal="center" wrapText="1"/>
    </xf>
    <xf numFmtId="0" fontId="11" fillId="0" borderId="36" xfId="0" applyFont="1" applyFill="1" applyBorder="1" applyAlignment="1">
      <alignment horizontal="center"/>
    </xf>
    <xf numFmtId="0" fontId="11" fillId="0" borderId="36" xfId="0" applyFont="1" applyFill="1" applyBorder="1" applyAlignment="1">
      <alignment horizontal="center" wrapText="1"/>
    </xf>
    <xf numFmtId="0" fontId="10" fillId="0" borderId="36" xfId="0" applyFont="1" applyFill="1" applyBorder="1" applyAlignment="1">
      <alignment horizontal="center" vertical="center" wrapText="1"/>
    </xf>
    <xf numFmtId="49" fontId="7" fillId="0" borderId="27" xfId="0" applyNumberFormat="1" applyFont="1" applyFill="1" applyBorder="1" applyAlignment="1">
      <alignment horizontal="center" vertical="center" wrapText="1"/>
    </xf>
    <xf numFmtId="49" fontId="7" fillId="0" borderId="34" xfId="0" applyNumberFormat="1" applyFont="1" applyFill="1" applyBorder="1" applyAlignment="1">
      <alignment horizontal="center" vertical="center" wrapText="1"/>
    </xf>
    <xf numFmtId="0" fontId="7" fillId="0" borderId="36" xfId="0" applyFont="1" applyFill="1" applyBorder="1" applyAlignment="1">
      <alignment horizontal="center" wrapText="1"/>
    </xf>
    <xf numFmtId="0" fontId="7" fillId="0" borderId="43" xfId="0" applyFont="1" applyFill="1" applyBorder="1" applyAlignment="1">
      <alignment horizontal="center" wrapText="1"/>
    </xf>
    <xf numFmtId="0" fontId="5" fillId="0" borderId="0" xfId="0" applyFont="1" applyFill="1" applyAlignment="1">
      <alignment horizontal="center" wrapText="1"/>
    </xf>
    <xf numFmtId="0" fontId="7" fillId="0" borderId="29" xfId="0" applyFont="1" applyBorder="1" applyAlignment="1">
      <alignment horizontal="center"/>
    </xf>
    <xf numFmtId="0" fontId="5" fillId="0" borderId="34" xfId="0" applyFont="1" applyBorder="1" applyAlignment="1"/>
    <xf numFmtId="0" fontId="10" fillId="0" borderId="33" xfId="0" applyFont="1" applyBorder="1" applyAlignment="1"/>
    <xf numFmtId="0" fontId="5" fillId="0" borderId="29" xfId="0" applyFont="1" applyBorder="1" applyAlignment="1"/>
    <xf numFmtId="168" fontId="7" fillId="0" borderId="16" xfId="5" applyNumberFormat="1" applyFont="1" applyFill="1" applyBorder="1" applyAlignment="1" applyProtection="1">
      <alignment horizontal="center" vertical="center" wrapText="1"/>
      <protection locked="0"/>
    </xf>
    <xf numFmtId="0" fontId="12" fillId="0" borderId="2" xfId="0" applyFont="1" applyBorder="1" applyAlignment="1">
      <alignment horizontal="center" vertical="center" wrapText="1"/>
    </xf>
    <xf numFmtId="0" fontId="2" fillId="0" borderId="29" xfId="0" applyFont="1" applyFill="1" applyBorder="1" applyAlignment="1" applyProtection="1">
      <alignment wrapText="1"/>
    </xf>
    <xf numFmtId="0" fontId="7" fillId="0" borderId="13" xfId="64" applyFont="1" applyBorder="1" applyAlignment="1" applyProtection="1">
      <alignment horizontal="center" vertical="center" wrapText="1"/>
      <protection locked="0"/>
    </xf>
    <xf numFmtId="0" fontId="7" fillId="0" borderId="16" xfId="64" applyFont="1" applyBorder="1" applyAlignment="1" applyProtection="1">
      <alignment horizontal="center" vertical="center" wrapText="1"/>
      <protection locked="0"/>
    </xf>
    <xf numFmtId="0" fontId="7" fillId="0" borderId="13" xfId="5" applyFont="1" applyBorder="1" applyAlignment="1" applyProtection="1">
      <alignment horizontal="center" vertical="center"/>
      <protection locked="0"/>
    </xf>
    <xf numFmtId="168" fontId="0" fillId="0" borderId="0" xfId="0" applyNumberFormat="1" applyFont="1" applyAlignment="1">
      <alignment wrapText="1"/>
    </xf>
    <xf numFmtId="174" fontId="7" fillId="0" borderId="13" xfId="0" applyNumberFormat="1" applyFont="1" applyBorder="1" applyAlignment="1" applyProtection="1">
      <alignment horizontal="right" vertical="center" wrapText="1"/>
      <protection locked="0"/>
    </xf>
    <xf numFmtId="4" fontId="11" fillId="0" borderId="71" xfId="0" applyNumberFormat="1" applyFont="1" applyFill="1" applyBorder="1" applyAlignment="1">
      <alignment horizontal="center" vertical="center" wrapText="1"/>
    </xf>
    <xf numFmtId="49" fontId="11" fillId="0" borderId="24" xfId="0" applyNumberFormat="1" applyFont="1" applyBorder="1" applyAlignment="1">
      <alignment horizontal="center" vertical="center" wrapText="1"/>
    </xf>
    <xf numFmtId="49" fontId="11" fillId="0" borderId="22" xfId="0" applyNumberFormat="1" applyFont="1" applyBorder="1" applyAlignment="1">
      <alignment vertical="center" wrapText="1"/>
    </xf>
    <xf numFmtId="49" fontId="11" fillId="0" borderId="68" xfId="0" applyNumberFormat="1" applyFont="1" applyBorder="1" applyAlignment="1">
      <alignment horizontal="center" vertical="center" wrapText="1"/>
    </xf>
    <xf numFmtId="0" fontId="7" fillId="0" borderId="16" xfId="0" applyFont="1" applyBorder="1" applyAlignment="1">
      <alignment horizontal="left" vertical="center" wrapText="1"/>
    </xf>
    <xf numFmtId="2" fontId="7" fillId="0" borderId="16" xfId="0" applyNumberFormat="1" applyFont="1" applyFill="1" applyBorder="1" applyAlignment="1">
      <alignment horizontal="center" vertical="center" wrapText="1"/>
    </xf>
    <xf numFmtId="2" fontId="7" fillId="0" borderId="63" xfId="0" applyNumberFormat="1" applyFont="1" applyFill="1" applyBorder="1" applyAlignment="1">
      <alignment horizontal="center" vertical="center" wrapText="1"/>
    </xf>
    <xf numFmtId="10" fontId="65" fillId="0" borderId="1" xfId="0" applyNumberFormat="1" applyFont="1" applyFill="1" applyBorder="1" applyAlignment="1" applyProtection="1">
      <alignment horizontal="right" vertical="center" wrapText="1"/>
      <protection locked="0"/>
    </xf>
    <xf numFmtId="2" fontId="64" fillId="0" borderId="1" xfId="0" applyNumberFormat="1" applyFont="1" applyFill="1" applyBorder="1" applyAlignment="1" applyProtection="1">
      <alignment horizontal="right" vertical="center"/>
      <protection locked="0"/>
    </xf>
    <xf numFmtId="0" fontId="64" fillId="0" borderId="1" xfId="0" applyNumberFormat="1" applyFont="1" applyFill="1" applyBorder="1" applyAlignment="1">
      <alignment horizontal="right" vertical="center" wrapText="1"/>
    </xf>
    <xf numFmtId="10" fontId="64" fillId="0" borderId="1" xfId="0" applyNumberFormat="1" applyFont="1" applyFill="1" applyBorder="1" applyAlignment="1">
      <alignment horizontal="right" vertical="center" wrapText="1"/>
    </xf>
    <xf numFmtId="4" fontId="64" fillId="0" borderId="0" xfId="0" applyNumberFormat="1" applyFont="1" applyFill="1" applyAlignment="1">
      <alignment wrapText="1"/>
    </xf>
    <xf numFmtId="0" fontId="64" fillId="0" borderId="0" xfId="0" applyFont="1" applyFill="1" applyAlignment="1">
      <alignment wrapText="1"/>
    </xf>
    <xf numFmtId="0" fontId="66" fillId="0" borderId="0" xfId="0" applyFont="1" applyFill="1" applyAlignment="1">
      <alignment wrapText="1"/>
    </xf>
    <xf numFmtId="2" fontId="66" fillId="0" borderId="0" xfId="0" applyNumberFormat="1" applyFont="1" applyFill="1" applyAlignment="1">
      <alignment wrapText="1"/>
    </xf>
    <xf numFmtId="0" fontId="66" fillId="0" borderId="0" xfId="0" applyFont="1" applyAlignment="1">
      <alignment wrapText="1"/>
    </xf>
    <xf numFmtId="10" fontId="65" fillId="0" borderId="1" xfId="0" applyNumberFormat="1" applyFont="1" applyBorder="1" applyAlignment="1" applyProtection="1">
      <alignment horizontal="right" vertical="center" wrapText="1"/>
      <protection locked="0"/>
    </xf>
    <xf numFmtId="2" fontId="64" fillId="0" borderId="1" xfId="0" applyNumberFormat="1" applyFont="1" applyBorder="1" applyAlignment="1" applyProtection="1">
      <alignment horizontal="right" vertical="center"/>
      <protection locked="0"/>
    </xf>
    <xf numFmtId="0" fontId="64" fillId="0" borderId="1" xfId="0" applyNumberFormat="1" applyFont="1" applyBorder="1" applyAlignment="1">
      <alignment horizontal="right" vertical="center" wrapText="1"/>
    </xf>
    <xf numFmtId="10" fontId="64" fillId="0" borderId="1" xfId="0" applyNumberFormat="1" applyFont="1" applyBorder="1" applyAlignment="1">
      <alignment horizontal="right" vertical="center" wrapText="1"/>
    </xf>
    <xf numFmtId="0" fontId="64" fillId="0" borderId="0" xfId="0" applyFont="1" applyAlignment="1">
      <alignment wrapText="1"/>
    </xf>
    <xf numFmtId="4" fontId="64" fillId="0" borderId="0" xfId="0" applyNumberFormat="1" applyFont="1" applyAlignment="1">
      <alignment wrapText="1"/>
    </xf>
    <xf numFmtId="2" fontId="66" fillId="0" borderId="0" xfId="0" applyNumberFormat="1" applyFont="1" applyAlignment="1">
      <alignment wrapText="1"/>
    </xf>
    <xf numFmtId="0" fontId="67" fillId="0" borderId="0" xfId="0" applyFont="1" applyAlignment="1">
      <alignment horizontal="right" wrapText="1"/>
    </xf>
    <xf numFmtId="2" fontId="66" fillId="0" borderId="0" xfId="0" applyNumberFormat="1" applyFont="1" applyAlignment="1">
      <alignment horizontal="right"/>
    </xf>
    <xf numFmtId="0" fontId="66" fillId="0" borderId="0" xfId="0" applyNumberFormat="1" applyFont="1" applyAlignment="1">
      <alignment horizontal="right" wrapText="1"/>
    </xf>
    <xf numFmtId="0" fontId="66" fillId="0" borderId="0" xfId="0" applyFont="1" applyAlignment="1">
      <alignment horizontal="right" wrapText="1"/>
    </xf>
    <xf numFmtId="49" fontId="7" fillId="0" borderId="22" xfId="0" applyNumberFormat="1" applyFont="1" applyBorder="1" applyAlignment="1">
      <alignment horizontal="center" vertical="center" wrapText="1"/>
    </xf>
    <xf numFmtId="0" fontId="12" fillId="0" borderId="1" xfId="0" applyFont="1" applyFill="1" applyBorder="1" applyAlignment="1">
      <alignment horizontal="right"/>
    </xf>
    <xf numFmtId="49" fontId="5" fillId="4" borderId="73" xfId="0" applyNumberFormat="1" applyFont="1" applyFill="1" applyBorder="1" applyAlignment="1" applyProtection="1">
      <alignment vertical="center"/>
      <protection locked="0"/>
    </xf>
    <xf numFmtId="0" fontId="5" fillId="4" borderId="74" xfId="0" applyFont="1" applyFill="1" applyBorder="1" applyAlignment="1" applyProtection="1">
      <alignment vertical="center"/>
      <protection locked="0"/>
    </xf>
    <xf numFmtId="0" fontId="6" fillId="0" borderId="1" xfId="0" applyFont="1" applyBorder="1" applyAlignment="1">
      <alignment vertical="center"/>
    </xf>
    <xf numFmtId="0" fontId="7" fillId="0" borderId="13" xfId="0" applyFont="1" applyBorder="1" applyAlignment="1">
      <alignment vertical="center" wrapText="1"/>
    </xf>
    <xf numFmtId="0" fontId="7" fillId="0" borderId="16" xfId="0" applyFont="1" applyBorder="1" applyAlignment="1">
      <alignment vertical="center" wrapText="1"/>
    </xf>
    <xf numFmtId="0" fontId="13" fillId="5" borderId="0" xfId="0" applyFont="1" applyFill="1" applyAlignment="1">
      <alignment horizontal="right" wrapText="1"/>
    </xf>
    <xf numFmtId="2" fontId="47" fillId="5" borderId="0" xfId="0" applyNumberFormat="1" applyFont="1" applyFill="1" applyAlignment="1">
      <alignment horizontal="right"/>
    </xf>
    <xf numFmtId="0" fontId="47" fillId="5" borderId="0" xfId="0" applyNumberFormat="1" applyFont="1" applyFill="1" applyAlignment="1">
      <alignment horizontal="right" wrapText="1"/>
    </xf>
    <xf numFmtId="0" fontId="0" fillId="5" borderId="0" xfId="0" applyFont="1" applyFill="1" applyAlignment="1">
      <alignment horizontal="right" wrapText="1"/>
    </xf>
    <xf numFmtId="0" fontId="5" fillId="5" borderId="0" xfId="0" applyFont="1" applyFill="1" applyAlignment="1">
      <alignment wrapText="1"/>
    </xf>
    <xf numFmtId="4" fontId="7" fillId="5" borderId="0" xfId="0" applyNumberFormat="1" applyFont="1" applyFill="1" applyAlignment="1">
      <alignment wrapText="1"/>
    </xf>
    <xf numFmtId="0" fontId="0" fillId="5" borderId="0" xfId="0" applyFont="1" applyFill="1" applyAlignment="1">
      <alignment wrapText="1"/>
    </xf>
    <xf numFmtId="0" fontId="7" fillId="5" borderId="13" xfId="0" applyFont="1" applyFill="1" applyBorder="1" applyAlignment="1" applyProtection="1">
      <alignment horizontal="center" vertical="center" wrapText="1"/>
      <protection locked="0"/>
    </xf>
    <xf numFmtId="168" fontId="7" fillId="5" borderId="13" xfId="0" applyNumberFormat="1" applyFont="1" applyFill="1" applyBorder="1" applyAlignment="1" applyProtection="1">
      <alignment horizontal="right" vertical="center" wrapText="1"/>
      <protection locked="0"/>
    </xf>
    <xf numFmtId="10" fontId="11" fillId="5" borderId="1" xfId="0" applyNumberFormat="1" applyFont="1" applyFill="1" applyBorder="1" applyAlignment="1" applyProtection="1">
      <alignment horizontal="right" vertical="center" wrapText="1"/>
      <protection locked="0"/>
    </xf>
    <xf numFmtId="2" fontId="16" fillId="5" borderId="1" xfId="0" applyNumberFormat="1" applyFont="1" applyFill="1" applyBorder="1" applyAlignment="1" applyProtection="1">
      <alignment horizontal="right" vertical="center"/>
      <protection locked="0"/>
    </xf>
    <xf numFmtId="0" fontId="16" fillId="5" borderId="1" xfId="0" applyNumberFormat="1" applyFont="1" applyFill="1" applyBorder="1" applyAlignment="1">
      <alignment horizontal="right" vertical="center" wrapText="1"/>
    </xf>
    <xf numFmtId="10" fontId="7" fillId="5" borderId="1" xfId="0" applyNumberFormat="1" applyFont="1" applyFill="1" applyBorder="1" applyAlignment="1">
      <alignment horizontal="right" vertical="center" wrapText="1"/>
    </xf>
    <xf numFmtId="0" fontId="7" fillId="5" borderId="0" xfId="0" applyFont="1" applyFill="1" applyAlignment="1">
      <alignment wrapText="1"/>
    </xf>
    <xf numFmtId="0" fontId="3" fillId="5" borderId="0" xfId="0" applyFont="1" applyFill="1" applyAlignment="1">
      <alignment wrapText="1"/>
    </xf>
    <xf numFmtId="2" fontId="3" fillId="5" borderId="0" xfId="0" applyNumberFormat="1" applyFont="1" applyFill="1" applyAlignment="1">
      <alignment wrapText="1"/>
    </xf>
    <xf numFmtId="0" fontId="7" fillId="5" borderId="1" xfId="0" applyNumberFormat="1" applyFont="1" applyFill="1" applyBorder="1" applyAlignment="1">
      <alignment horizontal="right" vertical="center" wrapText="1"/>
    </xf>
    <xf numFmtId="0" fontId="2" fillId="5" borderId="0" xfId="0" applyFont="1" applyFill="1" applyAlignment="1">
      <alignment wrapText="1"/>
    </xf>
    <xf numFmtId="2" fontId="2" fillId="5" borderId="0" xfId="0" applyNumberFormat="1" applyFont="1" applyFill="1" applyAlignment="1">
      <alignment wrapText="1"/>
    </xf>
    <xf numFmtId="2" fontId="7" fillId="5" borderId="1" xfId="0" applyNumberFormat="1" applyFont="1" applyFill="1" applyBorder="1" applyAlignment="1" applyProtection="1">
      <alignment horizontal="right" vertical="center"/>
      <protection locked="0"/>
    </xf>
    <xf numFmtId="0" fontId="5" fillId="5" borderId="0" xfId="0" applyFont="1" applyFill="1" applyAlignment="1"/>
    <xf numFmtId="0" fontId="7" fillId="0" borderId="29" xfId="0" applyFont="1" applyBorder="1" applyAlignment="1">
      <alignment vertical="center" wrapText="1"/>
    </xf>
    <xf numFmtId="0" fontId="6" fillId="0" borderId="2" xfId="0" applyFont="1" applyBorder="1" applyAlignment="1">
      <alignment horizontal="center" vertical="center" wrapText="1"/>
    </xf>
    <xf numFmtId="2" fontId="6" fillId="0" borderId="2" xfId="0" applyNumberFormat="1" applyFont="1" applyBorder="1" applyAlignment="1">
      <alignment horizontal="center" vertical="center" wrapText="1"/>
    </xf>
    <xf numFmtId="0" fontId="26" fillId="0" borderId="2" xfId="5" applyFont="1" applyBorder="1" applyAlignment="1">
      <alignment horizontal="center" vertical="center" wrapText="1"/>
    </xf>
    <xf numFmtId="171" fontId="6" fillId="0" borderId="2" xfId="0" applyNumberFormat="1" applyFont="1" applyBorder="1" applyAlignment="1">
      <alignment horizontal="right" vertical="center" wrapText="1"/>
    </xf>
    <xf numFmtId="0" fontId="6" fillId="0" borderId="2" xfId="5" applyFont="1" applyBorder="1" applyAlignment="1">
      <alignment horizontal="center" vertical="center" wrapText="1"/>
    </xf>
    <xf numFmtId="167" fontId="6" fillId="0" borderId="2" xfId="5" applyNumberFormat="1" applyFont="1" applyBorder="1" applyAlignment="1">
      <alignment horizontal="center" vertical="center" wrapText="1"/>
    </xf>
    <xf numFmtId="173" fontId="6" fillId="0" borderId="2" xfId="5" applyNumberFormat="1" applyFont="1" applyBorder="1" applyAlignment="1">
      <alignment horizontal="center" vertical="center" wrapText="1"/>
    </xf>
    <xf numFmtId="2" fontId="6" fillId="5" borderId="2" xfId="5" applyNumberFormat="1" applyFont="1" applyFill="1" applyBorder="1" applyAlignment="1">
      <alignment horizontal="center" vertical="center" wrapText="1"/>
    </xf>
    <xf numFmtId="0" fontId="21" fillId="0" borderId="2" xfId="0" applyFont="1" applyBorder="1" applyAlignment="1">
      <alignment horizontal="center" vertical="center"/>
    </xf>
    <xf numFmtId="167" fontId="12" fillId="0" borderId="2" xfId="0" applyNumberFormat="1" applyFont="1" applyBorder="1" applyAlignment="1"/>
    <xf numFmtId="0" fontId="7" fillId="0" borderId="75" xfId="0" applyFont="1" applyBorder="1" applyAlignment="1">
      <alignment horizontal="left" vertical="center" wrapText="1"/>
    </xf>
    <xf numFmtId="0" fontId="5" fillId="0" borderId="33" xfId="0" applyFont="1" applyBorder="1" applyAlignment="1">
      <alignment wrapText="1"/>
    </xf>
    <xf numFmtId="0" fontId="7" fillId="0" borderId="29" xfId="0" applyFont="1" applyBorder="1" applyAlignment="1">
      <alignment horizontal="left" vertical="center" wrapText="1"/>
    </xf>
    <xf numFmtId="0" fontId="7" fillId="0" borderId="29" xfId="0" applyFont="1" applyBorder="1" applyAlignment="1">
      <alignment horizontal="right" wrapText="1"/>
    </xf>
    <xf numFmtId="166" fontId="7" fillId="0" borderId="29" xfId="0" applyNumberFormat="1" applyFont="1" applyBorder="1" applyAlignment="1">
      <alignment horizontal="right" wrapText="1"/>
    </xf>
    <xf numFmtId="0" fontId="7" fillId="0" borderId="15" xfId="0" applyFont="1" applyBorder="1" applyAlignment="1">
      <alignment horizontal="center" vertical="center" wrapText="1"/>
    </xf>
    <xf numFmtId="0" fontId="7" fillId="0" borderId="15" xfId="0" applyFont="1" applyBorder="1" applyAlignment="1">
      <alignment horizontal="left" vertical="center" wrapText="1"/>
    </xf>
    <xf numFmtId="0" fontId="7" fillId="0" borderId="22" xfId="0" applyFont="1" applyBorder="1" applyAlignment="1">
      <alignment horizontal="left" vertical="center" wrapText="1"/>
    </xf>
    <xf numFmtId="0" fontId="7" fillId="0" borderId="22" xfId="0" applyFont="1" applyBorder="1" applyAlignment="1">
      <alignment vertical="center" wrapText="1"/>
    </xf>
    <xf numFmtId="0" fontId="7" fillId="0" borderId="22" xfId="0" applyFont="1" applyBorder="1" applyAlignment="1">
      <alignment horizontal="right" wrapText="1"/>
    </xf>
    <xf numFmtId="166" fontId="7" fillId="0" borderId="22" xfId="0" applyNumberFormat="1" applyFont="1" applyBorder="1" applyAlignment="1">
      <alignment horizontal="right" wrapText="1"/>
    </xf>
    <xf numFmtId="0" fontId="17" fillId="0" borderId="1" xfId="0" applyFont="1" applyBorder="1" applyAlignment="1">
      <alignment wrapText="1"/>
    </xf>
    <xf numFmtId="0" fontId="5" fillId="0" borderId="1" xfId="0" applyFont="1" applyFill="1" applyBorder="1" applyAlignment="1">
      <alignment wrapText="1"/>
    </xf>
    <xf numFmtId="0" fontId="16" fillId="0" borderId="1" xfId="0" applyFont="1" applyBorder="1" applyAlignment="1">
      <alignment wrapText="1"/>
    </xf>
    <xf numFmtId="0" fontId="12" fillId="0" borderId="33" xfId="0" applyNumberFormat="1" applyFont="1" applyBorder="1" applyAlignment="1" applyProtection="1">
      <alignment vertical="center"/>
    </xf>
    <xf numFmtId="0" fontId="6" fillId="0" borderId="29" xfId="0" applyFont="1" applyBorder="1" applyAlignment="1">
      <alignment vertical="center"/>
    </xf>
    <xf numFmtId="0" fontId="7" fillId="0" borderId="34" xfId="0" applyFont="1" applyFill="1" applyBorder="1" applyAlignment="1">
      <alignment horizontal="center"/>
    </xf>
    <xf numFmtId="0" fontId="7" fillId="0" borderId="75" xfId="0" applyFont="1" applyFill="1" applyBorder="1" applyAlignment="1">
      <alignment horizontal="center" vertical="center" wrapText="1"/>
    </xf>
    <xf numFmtId="0" fontId="7" fillId="0" borderId="75" xfId="0" applyNumberFormat="1" applyFont="1" applyFill="1" applyBorder="1" applyAlignment="1">
      <alignment vertical="center" wrapText="1"/>
    </xf>
    <xf numFmtId="0" fontId="16" fillId="0" borderId="75" xfId="0" applyFont="1" applyBorder="1" applyAlignment="1">
      <alignment horizontal="center" vertical="center" wrapText="1"/>
    </xf>
    <xf numFmtId="0" fontId="5" fillId="0" borderId="24" xfId="0" applyFont="1" applyBorder="1" applyAlignment="1">
      <alignment wrapText="1"/>
    </xf>
    <xf numFmtId="0" fontId="7" fillId="0" borderId="27" xfId="0" applyFont="1" applyFill="1" applyBorder="1" applyAlignment="1">
      <alignment horizontal="center" wrapText="1"/>
    </xf>
    <xf numFmtId="49" fontId="11" fillId="0" borderId="79" xfId="0" applyNumberFormat="1" applyFont="1" applyFill="1" applyBorder="1" applyAlignment="1" applyProtection="1">
      <alignment horizontal="center" vertical="center" wrapText="1"/>
      <protection locked="0"/>
    </xf>
    <xf numFmtId="49" fontId="11" fillId="0" borderId="72" xfId="0" applyNumberFormat="1" applyFont="1" applyFill="1" applyBorder="1" applyAlignment="1" applyProtection="1">
      <alignment horizontal="center" vertical="center" wrapText="1"/>
      <protection locked="0"/>
    </xf>
    <xf numFmtId="49" fontId="11" fillId="0" borderId="80" xfId="0" applyNumberFormat="1" applyFont="1" applyFill="1" applyBorder="1" applyAlignment="1" applyProtection="1">
      <alignment horizontal="center" vertical="center" wrapText="1"/>
      <protection locked="0"/>
    </xf>
    <xf numFmtId="168" fontId="11" fillId="0" borderId="80" xfId="0" applyNumberFormat="1" applyFont="1" applyFill="1" applyBorder="1" applyAlignment="1" applyProtection="1">
      <alignment horizontal="center" vertical="center" wrapText="1"/>
      <protection locked="0"/>
    </xf>
    <xf numFmtId="4" fontId="11" fillId="0" borderId="81" xfId="0" applyNumberFormat="1" applyFont="1" applyFill="1" applyBorder="1" applyAlignment="1" applyProtection="1">
      <alignment horizontal="center" vertical="center" wrapText="1"/>
      <protection locked="0"/>
    </xf>
    <xf numFmtId="0" fontId="7" fillId="0" borderId="82" xfId="0" applyFont="1" applyFill="1" applyBorder="1" applyAlignment="1" applyProtection="1">
      <alignment horizontal="center" vertical="center" wrapText="1"/>
      <protection locked="0"/>
    </xf>
    <xf numFmtId="0" fontId="7" fillId="0" borderId="82" xfId="64" applyFont="1" applyFill="1" applyBorder="1" applyAlignment="1" applyProtection="1">
      <alignment horizontal="center" vertical="center" wrapText="1"/>
      <protection locked="0"/>
    </xf>
    <xf numFmtId="0" fontId="7" fillId="0" borderId="82" xfId="0" applyFont="1" applyBorder="1" applyAlignment="1">
      <alignment vertical="center" wrapText="1"/>
    </xf>
    <xf numFmtId="0" fontId="7" fillId="0" borderId="82" xfId="0" applyFont="1" applyBorder="1" applyAlignment="1">
      <alignment horizontal="center" vertical="center" wrapText="1"/>
    </xf>
    <xf numFmtId="168" fontId="7" fillId="0" borderId="82" xfId="0" applyNumberFormat="1" applyFont="1" applyFill="1" applyBorder="1" applyAlignment="1" applyProtection="1">
      <alignment horizontal="right" vertical="center" wrapText="1"/>
      <protection locked="0"/>
    </xf>
    <xf numFmtId="49" fontId="7" fillId="0" borderId="82" xfId="0" applyNumberFormat="1" applyFont="1" applyFill="1" applyBorder="1" applyAlignment="1" applyProtection="1">
      <alignment horizontal="right" vertical="center" wrapText="1"/>
      <protection locked="0"/>
    </xf>
    <xf numFmtId="10" fontId="7" fillId="0" borderId="82" xfId="0" applyNumberFormat="1" applyFont="1" applyFill="1" applyBorder="1" applyAlignment="1" applyProtection="1">
      <alignment horizontal="right" vertical="center" wrapText="1"/>
      <protection locked="0"/>
    </xf>
    <xf numFmtId="168" fontId="2" fillId="0" borderId="1" xfId="0" applyNumberFormat="1" applyFont="1" applyBorder="1" applyAlignment="1">
      <alignment wrapText="1"/>
    </xf>
    <xf numFmtId="0" fontId="0" fillId="0" borderId="35" xfId="0" applyFont="1" applyBorder="1" applyAlignment="1"/>
    <xf numFmtId="0" fontId="6" fillId="0" borderId="41" xfId="0" applyFont="1" applyFill="1" applyBorder="1" applyAlignment="1" applyProtection="1">
      <alignment vertical="center" wrapText="1"/>
    </xf>
    <xf numFmtId="168" fontId="7" fillId="0" borderId="16" xfId="0" applyNumberFormat="1" applyFont="1" applyFill="1" applyBorder="1" applyAlignment="1" applyProtection="1">
      <alignment horizontal="center" vertical="center" wrapText="1"/>
      <protection locked="0"/>
    </xf>
    <xf numFmtId="0" fontId="7" fillId="0" borderId="13" xfId="0" applyNumberFormat="1" applyFont="1" applyBorder="1" applyAlignment="1">
      <alignment vertical="center" wrapText="1"/>
    </xf>
    <xf numFmtId="0" fontId="7" fillId="0" borderId="82" xfId="0" applyNumberFormat="1" applyFont="1" applyBorder="1" applyAlignment="1">
      <alignment vertical="center" wrapText="1"/>
    </xf>
    <xf numFmtId="168" fontId="16" fillId="0" borderId="82" xfId="0" applyNumberFormat="1" applyFont="1" applyFill="1" applyBorder="1" applyAlignment="1" applyProtection="1">
      <alignment horizontal="center" vertical="center" wrapText="1"/>
      <protection locked="0"/>
    </xf>
    <xf numFmtId="0" fontId="7" fillId="0" borderId="16" xfId="0" applyFont="1" applyFill="1" applyBorder="1" applyAlignment="1">
      <alignment horizontal="center" vertical="center" wrapText="1"/>
    </xf>
    <xf numFmtId="0" fontId="7" fillId="0" borderId="16" xfId="0" applyFont="1" applyFill="1" applyBorder="1" applyAlignment="1">
      <alignment horizontal="left" vertical="center" wrapText="1"/>
    </xf>
    <xf numFmtId="168" fontId="16" fillId="0" borderId="16" xfId="0" applyNumberFormat="1" applyFont="1" applyFill="1" applyBorder="1" applyAlignment="1" applyProtection="1">
      <alignment horizontal="center" vertical="center" wrapText="1"/>
      <protection locked="0"/>
    </xf>
    <xf numFmtId="0" fontId="7" fillId="0" borderId="13" xfId="0" applyFont="1" applyFill="1" applyBorder="1" applyAlignment="1">
      <alignment horizontal="center" vertical="center" wrapText="1"/>
    </xf>
    <xf numFmtId="0" fontId="7" fillId="0" borderId="13" xfId="0" applyFont="1" applyFill="1" applyBorder="1" applyAlignment="1">
      <alignment horizontal="left" vertical="center" wrapText="1"/>
    </xf>
    <xf numFmtId="0" fontId="11" fillId="0" borderId="64" xfId="0" applyFont="1" applyBorder="1" applyAlignment="1">
      <alignment horizontal="center" vertical="center" wrapText="1"/>
    </xf>
    <xf numFmtId="0" fontId="11" fillId="0" borderId="64" xfId="0" applyFont="1" applyBorder="1" applyAlignment="1">
      <alignment horizontal="left" vertical="center" wrapText="1"/>
    </xf>
    <xf numFmtId="3" fontId="7" fillId="0" borderId="82" xfId="0" applyNumberFormat="1" applyFont="1" applyBorder="1" applyAlignment="1">
      <alignment horizontal="center" vertical="center" wrapText="1"/>
    </xf>
    <xf numFmtId="3" fontId="7" fillId="0" borderId="82" xfId="0" applyNumberFormat="1" applyFont="1" applyBorder="1" applyAlignment="1">
      <alignment horizontal="left" vertical="center" wrapText="1"/>
    </xf>
    <xf numFmtId="168" fontId="7" fillId="0" borderId="82" xfId="0" applyNumberFormat="1" applyFont="1" applyFill="1" applyBorder="1" applyAlignment="1" applyProtection="1">
      <alignment horizontal="center" vertical="center" wrapText="1"/>
      <protection locked="0"/>
    </xf>
    <xf numFmtId="168" fontId="7" fillId="0" borderId="13" xfId="5" applyNumberFormat="1" applyFont="1" applyFill="1" applyBorder="1" applyAlignment="1" applyProtection="1">
      <alignment horizontal="center" vertical="center" wrapText="1"/>
      <protection locked="0"/>
    </xf>
    <xf numFmtId="0" fontId="7" fillId="0" borderId="82" xfId="0" applyFont="1" applyBorder="1" applyAlignment="1">
      <alignment horizontal="left" vertical="center" wrapText="1"/>
    </xf>
    <xf numFmtId="168" fontId="2" fillId="0" borderId="29" xfId="0" applyNumberFormat="1" applyFont="1" applyFill="1" applyBorder="1" applyAlignment="1" applyProtection="1"/>
    <xf numFmtId="168" fontId="7" fillId="0" borderId="13" xfId="0" applyNumberFormat="1" applyFont="1" applyBorder="1" applyAlignment="1">
      <alignment horizontal="right" vertical="center" wrapText="1"/>
    </xf>
    <xf numFmtId="168" fontId="7" fillId="0" borderId="16" xfId="0" applyNumberFormat="1" applyFont="1" applyBorder="1" applyAlignment="1">
      <alignment horizontal="right" vertical="center" wrapText="1"/>
    </xf>
    <xf numFmtId="168" fontId="7" fillId="0" borderId="82" xfId="0" applyNumberFormat="1" applyFont="1" applyBorder="1" applyAlignment="1">
      <alignment horizontal="right" vertical="center" wrapText="1"/>
    </xf>
    <xf numFmtId="168" fontId="7" fillId="0" borderId="2" xfId="0" applyNumberFormat="1" applyFont="1" applyFill="1" applyBorder="1" applyAlignment="1" applyProtection="1">
      <alignment horizontal="right" vertical="center" wrapText="1"/>
      <protection locked="0"/>
    </xf>
    <xf numFmtId="0" fontId="6" fillId="0" borderId="2" xfId="0" applyFont="1" applyFill="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9" fontId="36" fillId="0" borderId="2" xfId="0" applyNumberFormat="1" applyFont="1" applyBorder="1" applyAlignment="1"/>
    <xf numFmtId="0" fontId="6" fillId="0" borderId="2" xfId="0" applyFont="1" applyBorder="1" applyAlignment="1">
      <alignment vertical="center" wrapText="1"/>
    </xf>
    <xf numFmtId="0" fontId="6" fillId="0" borderId="2" xfId="0" applyFont="1" applyBorder="1" applyAlignment="1">
      <alignment horizontal="right" vertical="center" wrapText="1"/>
    </xf>
    <xf numFmtId="0" fontId="33" fillId="0" borderId="2" xfId="0" applyFont="1" applyBorder="1" applyAlignment="1">
      <alignment wrapText="1"/>
    </xf>
    <xf numFmtId="0" fontId="7" fillId="5" borderId="16"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168" fontId="7" fillId="5" borderId="16" xfId="0" applyNumberFormat="1" applyFont="1" applyFill="1" applyBorder="1" applyAlignment="1" applyProtection="1">
      <alignment horizontal="right" vertical="center" wrapText="1"/>
      <protection locked="0"/>
    </xf>
    <xf numFmtId="49" fontId="7" fillId="5" borderId="16" xfId="0" applyNumberFormat="1" applyFont="1" applyFill="1" applyBorder="1" applyAlignment="1" applyProtection="1">
      <alignment horizontal="right" vertical="center" wrapText="1"/>
      <protection locked="0"/>
    </xf>
    <xf numFmtId="10" fontId="7" fillId="5" borderId="16" xfId="0" applyNumberFormat="1" applyFont="1" applyFill="1" applyBorder="1" applyAlignment="1" applyProtection="1">
      <alignment horizontal="right" vertical="center" wrapText="1"/>
      <protection locked="0"/>
    </xf>
    <xf numFmtId="0" fontId="7" fillId="0" borderId="13" xfId="0" applyFont="1" applyBorder="1" applyAlignment="1">
      <alignment horizontal="right" vertical="center" wrapText="1"/>
    </xf>
    <xf numFmtId="0" fontId="7" fillId="5" borderId="82" xfId="0" applyFont="1" applyFill="1" applyBorder="1" applyAlignment="1" applyProtection="1">
      <alignment horizontal="center" vertical="center" wrapText="1"/>
      <protection locked="0"/>
    </xf>
    <xf numFmtId="168" fontId="7" fillId="5" borderId="82" xfId="0" applyNumberFormat="1" applyFont="1" applyFill="1" applyBorder="1" applyAlignment="1" applyProtection="1">
      <alignment horizontal="right" vertical="center" wrapText="1"/>
      <protection locked="0"/>
    </xf>
    <xf numFmtId="0" fontId="7" fillId="0" borderId="82" xfId="0" applyFont="1" applyBorder="1" applyAlignment="1">
      <alignment horizontal="right" vertical="center" wrapText="1"/>
    </xf>
    <xf numFmtId="0" fontId="7" fillId="0" borderId="16" xfId="0" applyFont="1" applyBorder="1" applyAlignment="1">
      <alignment horizontal="right" vertical="center" wrapText="1"/>
    </xf>
    <xf numFmtId="0" fontId="7" fillId="0" borderId="16" xfId="0" applyFont="1" applyBorder="1" applyAlignment="1" applyProtection="1">
      <alignment horizontal="center" vertical="center" wrapText="1"/>
      <protection locked="0"/>
    </xf>
    <xf numFmtId="168" fontId="7" fillId="0" borderId="16" xfId="0" applyNumberFormat="1" applyFont="1" applyBorder="1" applyAlignment="1" applyProtection="1">
      <alignment horizontal="right" vertical="center" wrapText="1"/>
      <protection locked="0"/>
    </xf>
    <xf numFmtId="49" fontId="7" fillId="0" borderId="16" xfId="0" applyNumberFormat="1" applyFont="1" applyBorder="1" applyAlignment="1" applyProtection="1">
      <alignment horizontal="right" vertical="center" wrapText="1"/>
      <protection locked="0"/>
    </xf>
    <xf numFmtId="10" fontId="7" fillId="0" borderId="16" xfId="0" applyNumberFormat="1" applyFont="1" applyBorder="1" applyAlignment="1" applyProtection="1">
      <alignment horizontal="right" vertical="center" wrapText="1"/>
      <protection locked="0"/>
    </xf>
    <xf numFmtId="0" fontId="7" fillId="0" borderId="82" xfId="0" applyFont="1" applyBorder="1" applyAlignment="1" applyProtection="1">
      <alignment horizontal="center" vertical="center" wrapText="1"/>
      <protection locked="0"/>
    </xf>
    <xf numFmtId="168" fontId="7" fillId="0" borderId="82" xfId="0" applyNumberFormat="1" applyFont="1" applyBorder="1" applyAlignment="1" applyProtection="1">
      <alignment horizontal="right" vertical="center" wrapText="1"/>
      <protection locked="0"/>
    </xf>
    <xf numFmtId="49" fontId="7" fillId="0" borderId="82" xfId="0" applyNumberFormat="1" applyFont="1" applyBorder="1" applyAlignment="1" applyProtection="1">
      <alignment horizontal="right" vertical="center" wrapText="1"/>
      <protection locked="0"/>
    </xf>
    <xf numFmtId="10" fontId="7" fillId="0" borderId="82" xfId="0" applyNumberFormat="1" applyFont="1" applyBorder="1" applyAlignment="1" applyProtection="1">
      <alignment horizontal="right" vertical="center" wrapText="1"/>
      <protection locked="0"/>
    </xf>
    <xf numFmtId="0" fontId="69" fillId="9" borderId="2" xfId="234" applyFont="1" applyFill="1" applyBorder="1" applyAlignment="1">
      <alignment horizontal="center" vertical="center" wrapText="1"/>
    </xf>
    <xf numFmtId="0" fontId="69" fillId="9" borderId="2" xfId="234" applyFont="1" applyFill="1" applyBorder="1" applyAlignment="1">
      <alignment horizontal="left" vertical="center" wrapText="1"/>
    </xf>
    <xf numFmtId="4" fontId="69" fillId="9" borderId="2" xfId="234" applyNumberFormat="1" applyFont="1" applyFill="1" applyBorder="1" applyAlignment="1">
      <alignment horizontal="center" vertical="center" wrapText="1"/>
    </xf>
    <xf numFmtId="2" fontId="17" fillId="0" borderId="1" xfId="0" applyNumberFormat="1" applyFont="1" applyBorder="1" applyAlignment="1">
      <alignment horizontal="center" vertical="center"/>
    </xf>
    <xf numFmtId="0" fontId="16" fillId="0" borderId="16" xfId="0" applyFont="1" applyBorder="1" applyAlignment="1">
      <alignment horizontal="center" vertical="center" wrapText="1"/>
    </xf>
    <xf numFmtId="0" fontId="16" fillId="0" borderId="16" xfId="0" applyFont="1" applyBorder="1" applyAlignment="1">
      <alignment horizontal="left" vertical="center" wrapText="1"/>
    </xf>
    <xf numFmtId="0" fontId="16" fillId="0" borderId="82" xfId="0" applyFont="1" applyBorder="1" applyAlignment="1">
      <alignment horizontal="center" vertical="center" wrapText="1"/>
    </xf>
    <xf numFmtId="0" fontId="16" fillId="0" borderId="82" xfId="0" applyFont="1" applyBorder="1" applyAlignment="1">
      <alignment horizontal="left" vertical="center" wrapText="1"/>
    </xf>
    <xf numFmtId="0" fontId="70" fillId="0" borderId="83" xfId="235" applyBorder="1"/>
    <xf numFmtId="0" fontId="70" fillId="0" borderId="85" xfId="235" applyBorder="1"/>
    <xf numFmtId="0" fontId="70" fillId="0" borderId="1" xfId="235"/>
    <xf numFmtId="0" fontId="72" fillId="0" borderId="1" xfId="235" applyFont="1" applyAlignment="1">
      <alignment horizontal="center" vertical="center"/>
    </xf>
    <xf numFmtId="0" fontId="70" fillId="0" borderId="4" xfId="235" applyBorder="1"/>
    <xf numFmtId="0" fontId="72" fillId="0" borderId="5" xfId="235" applyFont="1" applyBorder="1" applyAlignment="1">
      <alignment horizontal="center" vertical="center"/>
    </xf>
    <xf numFmtId="0" fontId="70" fillId="0" borderId="6" xfId="235" applyBorder="1"/>
    <xf numFmtId="0" fontId="2" fillId="0" borderId="7" xfId="235" applyFont="1" applyBorder="1"/>
    <xf numFmtId="0" fontId="2" fillId="0" borderId="8" xfId="235" applyFont="1" applyBorder="1"/>
    <xf numFmtId="0" fontId="13" fillId="0" borderId="1" xfId="235" applyFont="1" applyAlignment="1">
      <alignment vertical="center"/>
    </xf>
    <xf numFmtId="0" fontId="73" fillId="0" borderId="1" xfId="235" applyFont="1" applyAlignment="1">
      <alignment vertical="center"/>
    </xf>
    <xf numFmtId="0" fontId="13" fillId="10" borderId="2" xfId="235" applyFont="1" applyFill="1" applyBorder="1" applyAlignment="1" applyProtection="1">
      <alignment horizontal="center"/>
      <protection locked="0"/>
    </xf>
    <xf numFmtId="0" fontId="75" fillId="0" borderId="1" xfId="235" applyFont="1"/>
    <xf numFmtId="0" fontId="76" fillId="0" borderId="1" xfId="235" applyFont="1" applyAlignment="1">
      <alignment vertical="center"/>
    </xf>
    <xf numFmtId="0" fontId="2" fillId="0" borderId="1" xfId="235" applyFont="1" applyAlignment="1">
      <alignment vertical="center"/>
    </xf>
    <xf numFmtId="0" fontId="2" fillId="0" borderId="1" xfId="235" applyFont="1" applyAlignment="1">
      <alignment horizontal="center" vertical="center"/>
    </xf>
    <xf numFmtId="0" fontId="77" fillId="0" borderId="1" xfId="235" applyFont="1"/>
    <xf numFmtId="10" fontId="74" fillId="10" borderId="2" xfId="237" applyNumberFormat="1" applyFont="1" applyFill="1" applyBorder="1" applyAlignment="1" applyProtection="1">
      <alignment horizontal="center" vertical="center" wrapText="1"/>
      <protection locked="0"/>
    </xf>
    <xf numFmtId="0" fontId="13" fillId="0" borderId="1" xfId="235" quotePrefix="1" applyFont="1" applyAlignment="1">
      <alignment vertical="center"/>
    </xf>
    <xf numFmtId="0" fontId="2" fillId="0" borderId="1" xfId="235" applyFont="1"/>
    <xf numFmtId="10" fontId="13" fillId="0" borderId="1" xfId="235" applyNumberFormat="1" applyFont="1" applyAlignment="1">
      <alignment horizontal="center" vertical="center"/>
    </xf>
    <xf numFmtId="10" fontId="74" fillId="0" borderId="1" xfId="237" applyNumberFormat="1" applyFont="1" applyFill="1" applyBorder="1" applyAlignment="1" applyProtection="1">
      <alignment vertical="center" wrapText="1"/>
    </xf>
    <xf numFmtId="10" fontId="13" fillId="0" borderId="1" xfId="237" applyNumberFormat="1" applyFont="1" applyFill="1" applyBorder="1" applyAlignment="1" applyProtection="1">
      <alignment vertical="center" wrapText="1"/>
    </xf>
    <xf numFmtId="176" fontId="78" fillId="0" borderId="1" xfId="235" applyNumberFormat="1" applyFont="1"/>
    <xf numFmtId="10" fontId="0" fillId="0" borderId="1" xfId="237" applyNumberFormat="1" applyFont="1" applyProtection="1"/>
    <xf numFmtId="0" fontId="2" fillId="0" borderId="9" xfId="235" applyFont="1" applyBorder="1"/>
    <xf numFmtId="0" fontId="2" fillId="0" borderId="11" xfId="235" applyFont="1" applyBorder="1"/>
    <xf numFmtId="0" fontId="2" fillId="0" borderId="4" xfId="235" applyFont="1" applyBorder="1"/>
    <xf numFmtId="0" fontId="2" fillId="0" borderId="5" xfId="235" applyFont="1" applyBorder="1"/>
    <xf numFmtId="0" fontId="2" fillId="0" borderId="6" xfId="235" applyFont="1" applyBorder="1"/>
    <xf numFmtId="0" fontId="79" fillId="0" borderId="1" xfId="235" applyFont="1" applyAlignment="1">
      <alignment horizontal="center" vertical="center" wrapText="1"/>
    </xf>
    <xf numFmtId="0" fontId="13" fillId="0" borderId="1" xfId="235" applyFont="1" applyAlignment="1">
      <alignment horizontal="center" vertical="center" wrapText="1"/>
    </xf>
    <xf numFmtId="0" fontId="70" fillId="0" borderId="1" xfId="235" applyAlignment="1">
      <alignment horizontal="center"/>
    </xf>
    <xf numFmtId="0" fontId="80" fillId="0" borderId="1" xfId="235" applyFont="1" applyAlignment="1">
      <alignment horizontal="left" vertical="center" wrapText="1"/>
    </xf>
    <xf numFmtId="10" fontId="80" fillId="0" borderId="1" xfId="237" applyNumberFormat="1" applyFont="1" applyBorder="1" applyAlignment="1" applyProtection="1">
      <alignment horizontal="center" vertical="center" wrapText="1"/>
    </xf>
    <xf numFmtId="10" fontId="75" fillId="10" borderId="64" xfId="237" applyNumberFormat="1" applyFont="1" applyFill="1" applyBorder="1" applyAlignment="1" applyProtection="1">
      <alignment horizontal="center" vertical="center" wrapText="1"/>
      <protection locked="0"/>
    </xf>
    <xf numFmtId="10" fontId="2" fillId="0" borderId="8" xfId="235" applyNumberFormat="1" applyFont="1" applyBorder="1"/>
    <xf numFmtId="10" fontId="70" fillId="0" borderId="1" xfId="235" applyNumberFormat="1"/>
    <xf numFmtId="10" fontId="75" fillId="10" borderId="30" xfId="237" applyNumberFormat="1" applyFont="1" applyFill="1" applyBorder="1" applyAlignment="1" applyProtection="1">
      <alignment horizontal="center" vertical="center" wrapText="1"/>
      <protection locked="0"/>
    </xf>
    <xf numFmtId="10" fontId="75" fillId="10" borderId="88" xfId="237" applyNumberFormat="1" applyFont="1" applyFill="1" applyBorder="1" applyAlignment="1" applyProtection="1">
      <alignment horizontal="center" vertical="center" wrapText="1"/>
      <protection locked="0"/>
    </xf>
    <xf numFmtId="0" fontId="79" fillId="0" borderId="1" xfId="235" applyFont="1" applyAlignment="1">
      <alignment horizontal="left" vertical="center" wrapText="1"/>
    </xf>
    <xf numFmtId="176" fontId="13" fillId="0" borderId="1" xfId="237" applyNumberFormat="1" applyFont="1" applyFill="1" applyBorder="1" applyAlignment="1" applyProtection="1">
      <alignment horizontal="center" vertical="center" wrapText="1"/>
    </xf>
    <xf numFmtId="176" fontId="70" fillId="0" borderId="1" xfId="235" applyNumberFormat="1"/>
    <xf numFmtId="0" fontId="81" fillId="0" borderId="1" xfId="235" applyFont="1"/>
    <xf numFmtId="0" fontId="13" fillId="0" borderId="1" xfId="235" applyFont="1"/>
    <xf numFmtId="10" fontId="78" fillId="0" borderId="1" xfId="237" applyNumberFormat="1" applyFont="1" applyBorder="1" applyAlignment="1" applyProtection="1">
      <alignment horizontal="center"/>
    </xf>
    <xf numFmtId="0" fontId="83" fillId="0" borderId="1" xfId="235" applyFont="1" applyAlignment="1">
      <alignment horizontal="center"/>
    </xf>
    <xf numFmtId="0" fontId="13" fillId="0" borderId="1" xfId="235" applyFont="1" applyAlignment="1">
      <alignment horizontal="center" vertical="center"/>
    </xf>
    <xf numFmtId="0" fontId="13" fillId="0" borderId="1" xfId="235" applyFont="1" applyAlignment="1">
      <alignment vertical="center" wrapText="1"/>
    </xf>
    <xf numFmtId="0" fontId="13" fillId="0" borderId="1" xfId="235" applyFont="1" applyAlignment="1">
      <alignment wrapText="1"/>
    </xf>
    <xf numFmtId="0" fontId="79" fillId="0" borderId="10" xfId="235" applyFont="1" applyBorder="1" applyAlignment="1">
      <alignment horizontal="left" vertical="center" wrapText="1"/>
    </xf>
    <xf numFmtId="10" fontId="80" fillId="0" borderId="10" xfId="237" applyNumberFormat="1" applyFont="1" applyBorder="1" applyAlignment="1" applyProtection="1">
      <alignment horizontal="center" vertical="center" wrapText="1"/>
    </xf>
    <xf numFmtId="0" fontId="2" fillId="0" borderId="10" xfId="235" applyFont="1" applyBorder="1"/>
    <xf numFmtId="0" fontId="13" fillId="0" borderId="1" xfId="235" applyFont="1" applyAlignment="1">
      <alignment horizontal="center"/>
    </xf>
    <xf numFmtId="10" fontId="70" fillId="0" borderId="1" xfId="235" applyNumberFormat="1" applyAlignment="1">
      <alignment horizontal="center"/>
    </xf>
    <xf numFmtId="10" fontId="0" fillId="0" borderId="1" xfId="237" applyNumberFormat="1" applyFont="1" applyAlignment="1" applyProtection="1">
      <alignment horizontal="center"/>
    </xf>
    <xf numFmtId="172" fontId="70" fillId="0" borderId="1" xfId="235" applyNumberFormat="1" applyAlignment="1">
      <alignment horizontal="center"/>
    </xf>
    <xf numFmtId="9" fontId="0" fillId="0" borderId="1" xfId="237" applyFont="1" applyProtection="1"/>
    <xf numFmtId="0" fontId="70" fillId="0" borderId="7" xfId="235" applyBorder="1"/>
    <xf numFmtId="0" fontId="70" fillId="0" borderId="8" xfId="235" applyBorder="1"/>
    <xf numFmtId="0" fontId="13" fillId="0" borderId="7" xfId="235" applyFont="1" applyBorder="1" applyAlignment="1">
      <alignment vertical="center"/>
    </xf>
    <xf numFmtId="0" fontId="2" fillId="0" borderId="1" xfId="235" applyFont="1" applyAlignment="1">
      <alignment vertical="center" wrapText="1"/>
    </xf>
    <xf numFmtId="0" fontId="70" fillId="0" borderId="1" xfId="235" applyAlignment="1">
      <alignment vertical="center"/>
    </xf>
    <xf numFmtId="0" fontId="84" fillId="0" borderId="1" xfId="235" applyFont="1" applyAlignment="1">
      <alignment vertical="center" wrapText="1"/>
    </xf>
    <xf numFmtId="0" fontId="70" fillId="0" borderId="7" xfId="235" applyBorder="1" applyAlignment="1">
      <alignment vertical="center"/>
    </xf>
    <xf numFmtId="9" fontId="70" fillId="0" borderId="1" xfId="235" applyNumberFormat="1"/>
    <xf numFmtId="0" fontId="13" fillId="0" borderId="7" xfId="235" applyFont="1" applyBorder="1"/>
    <xf numFmtId="0" fontId="84" fillId="0" borderId="91" xfId="235" applyFont="1" applyBorder="1" applyAlignment="1">
      <alignment vertical="top" wrapText="1"/>
    </xf>
    <xf numFmtId="10" fontId="84" fillId="0" borderId="11" xfId="235" applyNumberFormat="1" applyFont="1" applyBorder="1" applyAlignment="1">
      <alignment horizontal="center" vertical="top" wrapText="1"/>
    </xf>
    <xf numFmtId="0" fontId="70" fillId="0" borderId="9" xfId="235" applyBorder="1"/>
    <xf numFmtId="0" fontId="70" fillId="0" borderId="10" xfId="235" applyBorder="1"/>
    <xf numFmtId="0" fontId="70" fillId="0" borderId="11" xfId="235" applyBorder="1"/>
    <xf numFmtId="0" fontId="84" fillId="0" borderId="92" xfId="235" applyFont="1" applyBorder="1" applyAlignment="1">
      <alignment vertical="top" wrapText="1"/>
    </xf>
    <xf numFmtId="10" fontId="84" fillId="0" borderId="93" xfId="235" applyNumberFormat="1" applyFont="1" applyBorder="1" applyAlignment="1">
      <alignment horizontal="center" vertical="top" wrapText="1"/>
    </xf>
    <xf numFmtId="0" fontId="70" fillId="0" borderId="7" xfId="235" applyBorder="1" applyAlignment="1">
      <alignment wrapText="1"/>
    </xf>
    <xf numFmtId="0" fontId="70" fillId="12" borderId="1" xfId="235" applyFill="1" applyAlignment="1">
      <alignment wrapText="1"/>
    </xf>
    <xf numFmtId="0" fontId="70" fillId="0" borderId="1" xfId="235" applyAlignment="1">
      <alignment wrapText="1"/>
    </xf>
    <xf numFmtId="0" fontId="70" fillId="0" borderId="8" xfId="235" applyBorder="1" applyAlignment="1">
      <alignment wrapText="1"/>
    </xf>
    <xf numFmtId="0" fontId="70" fillId="0" borderId="2" xfId="235" applyBorder="1"/>
    <xf numFmtId="0" fontId="70" fillId="0" borderId="2" xfId="235" applyBorder="1" applyAlignment="1">
      <alignment horizontal="center"/>
    </xf>
    <xf numFmtId="10" fontId="84" fillId="0" borderId="2" xfId="235" applyNumberFormat="1" applyFont="1" applyBorder="1" applyAlignment="1">
      <alignment horizontal="center" vertical="top" wrapText="1"/>
    </xf>
    <xf numFmtId="0" fontId="84" fillId="0" borderId="2" xfId="235" applyFont="1" applyBorder="1" applyAlignment="1">
      <alignment vertical="top" wrapText="1"/>
    </xf>
    <xf numFmtId="0" fontId="84" fillId="0" borderId="92" xfId="235" applyFont="1" applyBorder="1" applyAlignment="1">
      <alignment horizontal="center" vertical="top" wrapText="1"/>
    </xf>
    <xf numFmtId="0" fontId="84" fillId="0" borderId="93" xfId="235" applyFont="1" applyBorder="1" applyAlignment="1">
      <alignment horizontal="center" vertical="top" wrapText="1"/>
    </xf>
    <xf numFmtId="0" fontId="5" fillId="0" borderId="1" xfId="81" applyFont="1" applyAlignment="1">
      <alignment vertical="center"/>
    </xf>
    <xf numFmtId="0" fontId="5" fillId="0" borderId="8" xfId="81" applyFont="1" applyBorder="1" applyAlignment="1">
      <alignment vertical="center"/>
    </xf>
    <xf numFmtId="168" fontId="5" fillId="0" borderId="1" xfId="81" applyNumberFormat="1" applyFont="1" applyAlignment="1">
      <alignment vertical="center"/>
    </xf>
    <xf numFmtId="0" fontId="1" fillId="0" borderId="7" xfId="81" applyFont="1" applyBorder="1" applyAlignment="1">
      <alignment horizontal="left" vertical="center"/>
    </xf>
    <xf numFmtId="0" fontId="6" fillId="0" borderId="7" xfId="81" applyFont="1" applyBorder="1" applyAlignment="1">
      <alignment horizontal="left" vertical="center"/>
    </xf>
    <xf numFmtId="0" fontId="6" fillId="0" borderId="8" xfId="81" applyFont="1" applyBorder="1" applyAlignment="1">
      <alignment horizontal="left" vertical="center"/>
    </xf>
    <xf numFmtId="0" fontId="6" fillId="0" borderId="7" xfId="81" applyFont="1" applyBorder="1" applyAlignment="1">
      <alignment vertical="center"/>
    </xf>
    <xf numFmtId="0" fontId="7" fillId="0" borderId="1" xfId="81" applyFont="1" applyAlignment="1">
      <alignment vertical="center"/>
    </xf>
    <xf numFmtId="49" fontId="6" fillId="0" borderId="7" xfId="81" applyNumberFormat="1" applyFont="1" applyBorder="1" applyAlignment="1">
      <alignment vertical="center"/>
    </xf>
    <xf numFmtId="0" fontId="85" fillId="0" borderId="8" xfId="81" applyFont="1" applyBorder="1" applyAlignment="1">
      <alignment vertical="center"/>
    </xf>
    <xf numFmtId="0" fontId="7" fillId="0" borderId="1" xfId="81" applyFont="1" applyAlignment="1">
      <alignment horizontal="right" vertical="center"/>
    </xf>
    <xf numFmtId="9" fontId="8" fillId="0" borderId="8" xfId="81" applyNumberFormat="1" applyFont="1" applyBorder="1" applyAlignment="1">
      <alignment horizontal="right" vertical="center"/>
    </xf>
    <xf numFmtId="49" fontId="11" fillId="0" borderId="2" xfId="81" applyNumberFormat="1" applyFont="1" applyBorder="1" applyAlignment="1">
      <alignment horizontal="center" vertical="center" wrapText="1"/>
    </xf>
    <xf numFmtId="0" fontId="17" fillId="0" borderId="1" xfId="81" applyFont="1" applyAlignment="1">
      <alignment vertical="center"/>
    </xf>
    <xf numFmtId="0" fontId="7" fillId="0" borderId="1" xfId="81" applyFont="1" applyAlignment="1">
      <alignment horizontal="left" vertical="center" wrapText="1"/>
    </xf>
    <xf numFmtId="0" fontId="17" fillId="0" borderId="1" xfId="81" applyFont="1" applyAlignment="1">
      <alignment horizontal="left" vertical="center" wrapText="1"/>
    </xf>
    <xf numFmtId="0" fontId="12" fillId="13" borderId="19" xfId="81" applyFont="1" applyFill="1" applyBorder="1" applyAlignment="1">
      <alignment horizontal="center" vertical="center"/>
    </xf>
    <xf numFmtId="0" fontId="11" fillId="13" borderId="2" xfId="81" applyFont="1" applyFill="1" applyBorder="1" applyAlignment="1">
      <alignment horizontal="center" vertical="center"/>
    </xf>
    <xf numFmtId="4" fontId="11" fillId="0" borderId="12" xfId="81" applyNumberFormat="1" applyFont="1" applyBorder="1" applyAlignment="1">
      <alignment horizontal="right" vertical="center" wrapText="1"/>
    </xf>
    <xf numFmtId="0" fontId="12" fillId="5" borderId="19" xfId="81" applyFont="1" applyFill="1" applyBorder="1" applyAlignment="1">
      <alignment horizontal="center" vertical="center"/>
    </xf>
    <xf numFmtId="0" fontId="12" fillId="5" borderId="2" xfId="81" applyFont="1" applyFill="1" applyBorder="1" applyAlignment="1">
      <alignment vertical="center"/>
    </xf>
    <xf numFmtId="0" fontId="12" fillId="5" borderId="24" xfId="81" applyFont="1" applyFill="1" applyBorder="1" applyAlignment="1">
      <alignment vertical="center"/>
    </xf>
    <xf numFmtId="0" fontId="12" fillId="5" borderId="22" xfId="81" applyFont="1" applyFill="1" applyBorder="1" applyAlignment="1">
      <alignment vertical="center"/>
    </xf>
    <xf numFmtId="4" fontId="12" fillId="5" borderId="23" xfId="81" applyNumberFormat="1" applyFont="1" applyFill="1" applyBorder="1" applyAlignment="1">
      <alignment vertical="center"/>
    </xf>
    <xf numFmtId="0" fontId="6" fillId="5" borderId="19" xfId="81" applyFont="1" applyFill="1" applyBorder="1" applyAlignment="1">
      <alignment horizontal="center" vertical="center"/>
    </xf>
    <xf numFmtId="0" fontId="6" fillId="5" borderId="2" xfId="81" applyFont="1" applyFill="1" applyBorder="1" applyAlignment="1">
      <alignment vertical="center"/>
    </xf>
    <xf numFmtId="0" fontId="6" fillId="5" borderId="24" xfId="81" applyFont="1" applyFill="1" applyBorder="1" applyAlignment="1">
      <alignment vertical="center"/>
    </xf>
    <xf numFmtId="0" fontId="6" fillId="13" borderId="27" xfId="81" applyFont="1" applyFill="1" applyBorder="1" applyAlignment="1">
      <alignment vertical="center"/>
    </xf>
    <xf numFmtId="4" fontId="7" fillId="0" borderId="12" xfId="81" applyNumberFormat="1" applyFont="1" applyBorder="1" applyAlignment="1">
      <alignment horizontal="right" vertical="center" wrapText="1"/>
    </xf>
    <xf numFmtId="0" fontId="6" fillId="13" borderId="22" xfId="81" applyFont="1" applyFill="1" applyBorder="1" applyAlignment="1">
      <alignment vertical="center"/>
    </xf>
    <xf numFmtId="4" fontId="6" fillId="13" borderId="23" xfId="81" applyNumberFormat="1" applyFont="1" applyFill="1" applyBorder="1" applyAlignment="1">
      <alignment vertical="center"/>
    </xf>
    <xf numFmtId="4" fontId="7" fillId="0" borderId="1" xfId="81" applyNumberFormat="1" applyFont="1" applyAlignment="1">
      <alignment vertical="center"/>
    </xf>
    <xf numFmtId="0" fontId="6" fillId="0" borderId="19" xfId="81" applyFont="1" applyBorder="1" applyAlignment="1">
      <alignment horizontal="center" vertical="center" wrapText="1"/>
    </xf>
    <xf numFmtId="0" fontId="6" fillId="0" borderId="2" xfId="81" applyFont="1" applyBorder="1" applyAlignment="1">
      <alignment horizontal="center" vertical="center" wrapText="1"/>
    </xf>
    <xf numFmtId="0" fontId="6" fillId="13" borderId="24" xfId="81" applyFont="1" applyFill="1" applyBorder="1" applyAlignment="1">
      <alignment vertical="center"/>
    </xf>
    <xf numFmtId="0" fontId="7" fillId="0" borderId="1" xfId="81" applyFont="1" applyAlignment="1">
      <alignment horizontal="left"/>
    </xf>
    <xf numFmtId="0" fontId="6" fillId="0" borderId="19" xfId="81" applyFont="1" applyBorder="1" applyAlignment="1">
      <alignment horizontal="center" vertical="center"/>
    </xf>
    <xf numFmtId="0" fontId="6" fillId="0" borderId="2" xfId="81" applyFont="1" applyBorder="1" applyAlignment="1">
      <alignment horizontal="center" vertical="center"/>
    </xf>
    <xf numFmtId="0" fontId="7" fillId="0" borderId="19" xfId="81" applyFont="1" applyBorder="1" applyAlignment="1">
      <alignment horizontal="center" vertical="center" wrapText="1"/>
    </xf>
    <xf numFmtId="0" fontId="7" fillId="0" borderId="2" xfId="81" applyFont="1" applyBorder="1" applyAlignment="1">
      <alignment horizontal="center" vertical="center"/>
    </xf>
    <xf numFmtId="49" fontId="6" fillId="13" borderId="24" xfId="81" applyNumberFormat="1" applyFont="1" applyFill="1" applyBorder="1" applyAlignment="1">
      <alignment horizontal="left" vertical="center"/>
    </xf>
    <xf numFmtId="0" fontId="6" fillId="13" borderId="27" xfId="81" applyFont="1" applyFill="1" applyBorder="1" applyAlignment="1">
      <alignment horizontal="left" vertical="center"/>
    </xf>
    <xf numFmtId="0" fontId="11" fillId="5" borderId="2" xfId="81" applyFont="1" applyFill="1" applyBorder="1" applyAlignment="1">
      <alignment horizontal="center" vertical="center"/>
    </xf>
    <xf numFmtId="0" fontId="12" fillId="5" borderId="2" xfId="81" applyFont="1" applyFill="1" applyBorder="1" applyAlignment="1">
      <alignment horizontal="center" vertical="center"/>
    </xf>
    <xf numFmtId="10" fontId="5" fillId="0" borderId="1" xfId="81" applyNumberFormat="1" applyFont="1" applyAlignment="1">
      <alignment vertical="center"/>
    </xf>
    <xf numFmtId="164" fontId="7" fillId="0" borderId="1" xfId="6" applyFont="1" applyAlignment="1">
      <alignment horizontal="right" vertical="center"/>
    </xf>
    <xf numFmtId="4" fontId="11" fillId="0" borderId="12" xfId="81" applyNumberFormat="1" applyFont="1" applyBorder="1" applyAlignment="1">
      <alignment horizontal="right" vertical="center"/>
    </xf>
    <xf numFmtId="49" fontId="7" fillId="0" borderId="7" xfId="81" applyNumberFormat="1" applyFont="1" applyBorder="1" applyAlignment="1">
      <alignment vertical="center"/>
    </xf>
    <xf numFmtId="0" fontId="7" fillId="0" borderId="1" xfId="81" applyFont="1" applyAlignment="1">
      <alignment horizontal="center" vertical="center"/>
    </xf>
    <xf numFmtId="0" fontId="7" fillId="0" borderId="1" xfId="81" applyFont="1" applyAlignment="1">
      <alignment vertical="center" wrapText="1"/>
    </xf>
    <xf numFmtId="166" fontId="7" fillId="0" borderId="8" xfId="81" applyNumberFormat="1" applyFont="1" applyBorder="1" applyAlignment="1">
      <alignment horizontal="right" vertical="center"/>
    </xf>
    <xf numFmtId="0" fontId="11" fillId="0" borderId="1" xfId="81" applyFont="1" applyAlignment="1">
      <alignment vertical="center"/>
    </xf>
    <xf numFmtId="0" fontId="7" fillId="0" borderId="7" xfId="81" applyFont="1" applyBorder="1" applyAlignment="1">
      <alignment vertical="center"/>
    </xf>
    <xf numFmtId="4" fontId="5" fillId="0" borderId="1" xfId="81" applyNumberFormat="1" applyFont="1" applyAlignment="1">
      <alignment vertical="center"/>
    </xf>
    <xf numFmtId="49" fontId="5" fillId="0" borderId="7" xfId="81" applyNumberFormat="1" applyFont="1" applyBorder="1" applyAlignment="1">
      <alignment vertical="center"/>
    </xf>
    <xf numFmtId="0" fontId="7" fillId="0" borderId="8" xfId="81" applyFont="1" applyBorder="1" applyAlignment="1">
      <alignment horizontal="right" vertical="center"/>
    </xf>
    <xf numFmtId="9" fontId="7" fillId="0" borderId="8" xfId="81" applyNumberFormat="1" applyFont="1" applyBorder="1" applyAlignment="1">
      <alignment horizontal="right" vertical="center"/>
    </xf>
    <xf numFmtId="49" fontId="7" fillId="0" borderId="9" xfId="81" applyNumberFormat="1" applyFont="1" applyBorder="1" applyAlignment="1">
      <alignment vertical="center"/>
    </xf>
    <xf numFmtId="0" fontId="7" fillId="0" borderId="10" xfId="81" applyFont="1" applyBorder="1" applyAlignment="1">
      <alignment horizontal="center" vertical="center"/>
    </xf>
    <xf numFmtId="0" fontId="7" fillId="0" borderId="10" xfId="81" applyFont="1" applyBorder="1" applyAlignment="1">
      <alignment horizontal="center" vertical="center" wrapText="1"/>
    </xf>
    <xf numFmtId="0" fontId="7" fillId="0" borderId="10" xfId="81" applyFont="1" applyBorder="1" applyAlignment="1">
      <alignment horizontal="right" vertical="center"/>
    </xf>
    <xf numFmtId="9" fontId="7" fillId="0" borderId="11" xfId="81" applyNumberFormat="1" applyFont="1" applyBorder="1" applyAlignment="1">
      <alignment horizontal="right" vertical="center"/>
    </xf>
    <xf numFmtId="49" fontId="7" fillId="0" borderId="1" xfId="81" applyNumberFormat="1" applyFont="1" applyAlignment="1">
      <alignment vertical="center"/>
    </xf>
    <xf numFmtId="9" fontId="7" fillId="0" borderId="1" xfId="81" applyNumberFormat="1" applyFont="1" applyAlignment="1">
      <alignment horizontal="right" vertical="center"/>
    </xf>
    <xf numFmtId="0" fontId="5" fillId="0" borderId="1" xfId="81" applyFont="1" applyBorder="1" applyAlignment="1">
      <alignment horizontal="right" vertical="center"/>
    </xf>
    <xf numFmtId="49" fontId="5" fillId="0" borderId="1" xfId="81" applyNumberFormat="1" applyFont="1" applyBorder="1" applyAlignment="1">
      <alignment vertical="center"/>
    </xf>
    <xf numFmtId="0" fontId="5" fillId="0" borderId="1" xfId="81" applyFont="1" applyBorder="1" applyAlignment="1">
      <alignment vertical="center"/>
    </xf>
    <xf numFmtId="0" fontId="6" fillId="0" borderId="1" xfId="81" applyFont="1" applyBorder="1" applyAlignment="1">
      <alignment horizontal="right" vertical="center"/>
    </xf>
    <xf numFmtId="49" fontId="8" fillId="0" borderId="1" xfId="81" applyNumberFormat="1" applyFont="1" applyBorder="1" applyAlignment="1">
      <alignment vertical="center"/>
    </xf>
    <xf numFmtId="0" fontId="8" fillId="0" borderId="1" xfId="81" applyFont="1" applyBorder="1" applyAlignment="1">
      <alignment vertical="center"/>
    </xf>
    <xf numFmtId="0" fontId="6" fillId="0" borderId="1" xfId="81" applyFont="1" applyBorder="1" applyAlignment="1">
      <alignment vertical="center"/>
    </xf>
    <xf numFmtId="0" fontId="7" fillId="0" borderId="1" xfId="81" applyFont="1" applyBorder="1" applyAlignment="1">
      <alignment horizontal="right" vertical="center"/>
    </xf>
    <xf numFmtId="0" fontId="7" fillId="0" borderId="1" xfId="81" applyFont="1" applyBorder="1" applyAlignment="1">
      <alignment horizontal="center" vertical="center"/>
    </xf>
    <xf numFmtId="0" fontId="7" fillId="0" borderId="1" xfId="81" applyFont="1" applyBorder="1" applyAlignment="1">
      <alignment vertical="center" wrapText="1"/>
    </xf>
    <xf numFmtId="0" fontId="7" fillId="0" borderId="1" xfId="81" applyFont="1" applyBorder="1" applyAlignment="1">
      <alignment vertical="center"/>
    </xf>
    <xf numFmtId="0" fontId="7" fillId="0" borderId="1" xfId="81" applyFont="1" applyBorder="1" applyAlignment="1">
      <alignment horizontal="center" vertical="center" wrapText="1"/>
    </xf>
    <xf numFmtId="0" fontId="21" fillId="8" borderId="44" xfId="0" applyFont="1" applyFill="1" applyBorder="1" applyAlignment="1" applyProtection="1">
      <alignment horizontal="center" vertical="center"/>
      <protection locked="0"/>
    </xf>
    <xf numFmtId="0" fontId="21" fillId="8" borderId="45" xfId="0" applyFont="1" applyFill="1" applyBorder="1" applyAlignment="1" applyProtection="1">
      <alignment horizontal="center" vertical="center"/>
      <protection locked="0"/>
    </xf>
    <xf numFmtId="0" fontId="40" fillId="8" borderId="44" xfId="0" applyFont="1" applyFill="1" applyBorder="1" applyAlignment="1" applyProtection="1">
      <alignment horizontal="center" vertical="center"/>
      <protection locked="0"/>
    </xf>
    <xf numFmtId="0" fontId="40" fillId="8" borderId="45" xfId="0" applyFont="1" applyFill="1" applyBorder="1" applyAlignment="1" applyProtection="1">
      <alignment horizontal="center" vertical="center"/>
      <protection locked="0"/>
    </xf>
    <xf numFmtId="0" fontId="13" fillId="0" borderId="1" xfId="235" applyFont="1" applyAlignment="1">
      <alignment horizontal="left" vertical="center" wrapText="1"/>
    </xf>
    <xf numFmtId="0" fontId="13" fillId="0" borderId="1" xfId="235" applyFont="1" applyAlignment="1">
      <alignment horizontal="center"/>
    </xf>
    <xf numFmtId="0" fontId="71" fillId="0" borderId="84" xfId="235" applyFont="1" applyBorder="1" applyAlignment="1">
      <alignment horizontal="center" vertical="center"/>
    </xf>
    <xf numFmtId="0" fontId="13" fillId="0" borderId="1" xfId="235" applyFont="1" applyAlignment="1">
      <alignment horizontal="center" vertical="center"/>
    </xf>
    <xf numFmtId="175" fontId="74" fillId="10" borderId="24" xfId="236" applyNumberFormat="1" applyFont="1" applyFill="1" applyBorder="1" applyAlignment="1" applyProtection="1">
      <alignment horizontal="left" vertical="center" wrapText="1"/>
      <protection locked="0"/>
    </xf>
    <xf numFmtId="175" fontId="74" fillId="10" borderId="22" xfId="236" applyNumberFormat="1" applyFont="1" applyFill="1" applyBorder="1" applyAlignment="1" applyProtection="1">
      <alignment horizontal="left" vertical="center" wrapText="1"/>
      <protection locked="0"/>
    </xf>
    <xf numFmtId="175" fontId="74" fillId="10" borderId="27" xfId="236" applyNumberFormat="1" applyFont="1" applyFill="1" applyBorder="1" applyAlignment="1" applyProtection="1">
      <alignment horizontal="left" vertical="center" wrapText="1"/>
      <protection locked="0"/>
    </xf>
    <xf numFmtId="0" fontId="2" fillId="11" borderId="86" xfId="235" applyFont="1" applyFill="1" applyBorder="1" applyAlignment="1">
      <alignment horizontal="left" vertical="top" wrapText="1"/>
    </xf>
    <xf numFmtId="0" fontId="2" fillId="11" borderId="66" xfId="235" applyFont="1" applyFill="1" applyBorder="1" applyAlignment="1">
      <alignment horizontal="left" vertical="top" wrapText="1"/>
    </xf>
    <xf numFmtId="0" fontId="2" fillId="11" borderId="87" xfId="235" applyFont="1" applyFill="1" applyBorder="1" applyAlignment="1">
      <alignment horizontal="left" vertical="top" wrapText="1"/>
    </xf>
    <xf numFmtId="10" fontId="74" fillId="10" borderId="2" xfId="237" applyNumberFormat="1" applyFont="1" applyFill="1" applyBorder="1" applyAlignment="1" applyProtection="1">
      <alignment horizontal="center" vertical="center" wrapText="1"/>
      <protection locked="0"/>
    </xf>
    <xf numFmtId="0" fontId="13" fillId="0" borderId="1" xfId="235" applyFont="1" applyAlignment="1">
      <alignment horizontal="center" vertical="center" wrapText="1"/>
    </xf>
    <xf numFmtId="0" fontId="2" fillId="0" borderId="1" xfId="235" applyFont="1" applyAlignment="1">
      <alignment horizontal="left" vertical="center" wrapText="1"/>
    </xf>
    <xf numFmtId="0" fontId="13" fillId="0" borderId="10" xfId="235" applyFont="1" applyBorder="1" applyAlignment="1">
      <alignment horizontal="center" vertical="center"/>
    </xf>
    <xf numFmtId="10" fontId="78" fillId="0" borderId="1" xfId="237" applyNumberFormat="1" applyFont="1" applyBorder="1" applyAlignment="1" applyProtection="1">
      <alignment horizontal="center"/>
    </xf>
    <xf numFmtId="0" fontId="82" fillId="0" borderId="83" xfId="235" applyFont="1" applyBorder="1" applyAlignment="1">
      <alignment horizontal="center"/>
    </xf>
    <xf numFmtId="0" fontId="82" fillId="0" borderId="84" xfId="235" applyFont="1" applyBorder="1" applyAlignment="1">
      <alignment horizontal="center"/>
    </xf>
    <xf numFmtId="0" fontId="82" fillId="0" borderId="85" xfId="235" applyFont="1" applyBorder="1" applyAlignment="1">
      <alignment horizontal="center"/>
    </xf>
    <xf numFmtId="0" fontId="81" fillId="0" borderId="1" xfId="235" applyFont="1" applyAlignment="1">
      <alignment vertical="center" wrapText="1"/>
    </xf>
    <xf numFmtId="10" fontId="72" fillId="11" borderId="89" xfId="237" applyNumberFormat="1" applyFont="1" applyFill="1" applyBorder="1" applyAlignment="1" applyProtection="1">
      <alignment horizontal="center" vertical="center"/>
    </xf>
    <xf numFmtId="10" fontId="72" fillId="11" borderId="90" xfId="237" applyNumberFormat="1" applyFont="1" applyFill="1" applyBorder="1" applyAlignment="1" applyProtection="1">
      <alignment horizontal="center" vertical="center"/>
    </xf>
    <xf numFmtId="0" fontId="70" fillId="0" borderId="10" xfId="235" applyBorder="1" applyAlignment="1">
      <alignment horizontal="center"/>
    </xf>
    <xf numFmtId="0" fontId="13" fillId="0" borderId="4" xfId="235" applyFont="1" applyBorder="1" applyAlignment="1">
      <alignment horizontal="center"/>
    </xf>
    <xf numFmtId="0" fontId="13" fillId="0" borderId="5" xfId="235" applyFont="1" applyBorder="1" applyAlignment="1">
      <alignment horizontal="center"/>
    </xf>
    <xf numFmtId="0" fontId="13" fillId="0" borderId="6" xfId="235" applyFont="1" applyBorder="1" applyAlignment="1">
      <alignment horizontal="center"/>
    </xf>
    <xf numFmtId="0" fontId="70" fillId="0" borderId="7" xfId="235" applyBorder="1" applyAlignment="1">
      <alignment horizontal="left" wrapText="1"/>
    </xf>
    <xf numFmtId="0" fontId="70" fillId="0" borderId="1" xfId="235" applyAlignment="1">
      <alignment horizontal="left" wrapText="1"/>
    </xf>
    <xf numFmtId="0" fontId="70" fillId="0" borderId="8" xfId="235" applyBorder="1" applyAlignment="1">
      <alignment horizontal="left" wrapText="1"/>
    </xf>
    <xf numFmtId="0" fontId="18" fillId="0" borderId="35" xfId="0" applyFont="1" applyBorder="1" applyAlignment="1">
      <alignment horizontal="center" wrapText="1"/>
    </xf>
    <xf numFmtId="0" fontId="18" fillId="0" borderId="1" xfId="0" applyFont="1" applyBorder="1" applyAlignment="1">
      <alignment horizontal="center" wrapText="1"/>
    </xf>
    <xf numFmtId="0" fontId="18" fillId="0" borderId="36" xfId="0" applyFont="1" applyBorder="1" applyAlignment="1">
      <alignment horizontal="center" wrapText="1"/>
    </xf>
    <xf numFmtId="0" fontId="9" fillId="0" borderId="24" xfId="0" applyFont="1" applyFill="1" applyBorder="1" applyAlignment="1" applyProtection="1">
      <alignment horizontal="right" vertical="center" wrapText="1"/>
      <protection locked="0"/>
    </xf>
    <xf numFmtId="0" fontId="9" fillId="0" borderId="22" xfId="0" applyFont="1" applyFill="1" applyBorder="1" applyAlignment="1" applyProtection="1">
      <alignment horizontal="right" vertical="center" wrapText="1"/>
      <protection locked="0"/>
    </xf>
    <xf numFmtId="4" fontId="9" fillId="0" borderId="22" xfId="0" applyNumberFormat="1" applyFont="1" applyFill="1" applyBorder="1" applyAlignment="1" applyProtection="1">
      <alignment horizontal="right" vertical="center" wrapText="1"/>
      <protection locked="0"/>
    </xf>
    <xf numFmtId="4" fontId="9" fillId="0" borderId="27" xfId="0" applyNumberFormat="1" applyFont="1" applyFill="1" applyBorder="1" applyAlignment="1" applyProtection="1">
      <alignment horizontal="right" vertical="center" wrapText="1"/>
      <protection locked="0"/>
    </xf>
    <xf numFmtId="0" fontId="9" fillId="0" borderId="24" xfId="0" applyFont="1" applyFill="1" applyBorder="1" applyAlignment="1" applyProtection="1">
      <alignment horizontal="center" vertical="center" wrapText="1"/>
      <protection locked="0"/>
    </xf>
    <xf numFmtId="0" fontId="9" fillId="0" borderId="22" xfId="0" applyFont="1" applyFill="1" applyBorder="1" applyAlignment="1" applyProtection="1">
      <alignment horizontal="center" vertical="center" wrapText="1"/>
      <protection locked="0"/>
    </xf>
    <xf numFmtId="0" fontId="2" fillId="0" borderId="22" xfId="0" applyFont="1" applyFill="1" applyBorder="1" applyAlignment="1" applyProtection="1">
      <alignment wrapText="1"/>
      <protection locked="0"/>
    </xf>
    <xf numFmtId="0" fontId="2" fillId="0" borderId="27" xfId="0" applyFont="1" applyFill="1" applyBorder="1" applyAlignment="1" applyProtection="1">
      <alignment wrapText="1"/>
      <protection locked="0"/>
    </xf>
    <xf numFmtId="0" fontId="18" fillId="0" borderId="35" xfId="0" applyFont="1" applyFill="1" applyBorder="1" applyAlignment="1">
      <alignment horizontal="center"/>
    </xf>
    <xf numFmtId="0" fontId="18" fillId="0" borderId="1" xfId="0" applyFont="1" applyFill="1" applyBorder="1" applyAlignment="1">
      <alignment horizontal="center"/>
    </xf>
    <xf numFmtId="0" fontId="18" fillId="0" borderId="36" xfId="0" applyFont="1" applyFill="1" applyBorder="1" applyAlignment="1">
      <alignment horizontal="center"/>
    </xf>
    <xf numFmtId="0" fontId="18" fillId="0" borderId="35" xfId="64" applyFont="1" applyBorder="1" applyAlignment="1">
      <alignment horizontal="center" wrapText="1"/>
    </xf>
    <xf numFmtId="0" fontId="18" fillId="0" borderId="1" xfId="64" applyFont="1" applyBorder="1" applyAlignment="1">
      <alignment horizontal="center" wrapText="1"/>
    </xf>
    <xf numFmtId="0" fontId="18" fillId="0" borderId="36" xfId="64" applyFont="1" applyBorder="1" applyAlignment="1">
      <alignment horizontal="center" wrapText="1"/>
    </xf>
    <xf numFmtId="0" fontId="1" fillId="0" borderId="35" xfId="64" applyFont="1" applyBorder="1" applyAlignment="1">
      <alignment horizontal="center" vertical="center"/>
    </xf>
    <xf numFmtId="0" fontId="1" fillId="0" borderId="1" xfId="64" applyFont="1" applyBorder="1" applyAlignment="1">
      <alignment horizontal="center" vertical="center"/>
    </xf>
    <xf numFmtId="0" fontId="1" fillId="0" borderId="36" xfId="64" applyFont="1" applyBorder="1" applyAlignment="1">
      <alignment horizontal="center" vertical="center"/>
    </xf>
    <xf numFmtId="0" fontId="6" fillId="13" borderId="24" xfId="81" applyFont="1" applyFill="1" applyBorder="1" applyAlignment="1">
      <alignment horizontal="left" vertical="center"/>
    </xf>
    <xf numFmtId="0" fontId="6" fillId="13" borderId="27" xfId="81" applyFont="1" applyFill="1" applyBorder="1" applyAlignment="1">
      <alignment horizontal="left" vertical="center"/>
    </xf>
    <xf numFmtId="49" fontId="1" fillId="0" borderId="4" xfId="81" applyNumberFormat="1" applyFont="1" applyBorder="1" applyAlignment="1">
      <alignment horizontal="center" vertical="center"/>
    </xf>
    <xf numFmtId="0" fontId="7" fillId="0" borderId="5" xfId="81" applyFont="1" applyBorder="1" applyAlignment="1">
      <alignment vertical="center"/>
    </xf>
    <xf numFmtId="0" fontId="7" fillId="0" borderId="6" xfId="81" applyFont="1" applyBorder="1" applyAlignment="1">
      <alignment vertical="center"/>
    </xf>
    <xf numFmtId="0" fontId="1" fillId="0" borderId="7" xfId="81" applyFont="1" applyBorder="1" applyAlignment="1">
      <alignment horizontal="left" vertical="center" wrapText="1"/>
    </xf>
    <xf numFmtId="0" fontId="1" fillId="0" borderId="1" xfId="81" applyFont="1" applyBorder="1" applyAlignment="1">
      <alignment horizontal="left" vertical="center" wrapText="1"/>
    </xf>
    <xf numFmtId="49" fontId="9" fillId="0" borderId="19" xfId="81" applyNumberFormat="1" applyFont="1" applyBorder="1" applyAlignment="1">
      <alignment horizontal="center" vertical="center"/>
    </xf>
    <xf numFmtId="49" fontId="9" fillId="0" borderId="2" xfId="81" applyNumberFormat="1" applyFont="1" applyBorder="1" applyAlignment="1">
      <alignment horizontal="center" vertical="center"/>
    </xf>
    <xf numFmtId="49" fontId="9" fillId="0" borderId="12" xfId="81" applyNumberFormat="1" applyFont="1" applyBorder="1" applyAlignment="1">
      <alignment horizontal="center" vertical="center"/>
    </xf>
    <xf numFmtId="49" fontId="11" fillId="0" borderId="19" xfId="81" applyNumberFormat="1" applyFont="1" applyBorder="1" applyAlignment="1">
      <alignment horizontal="center" vertical="center"/>
    </xf>
    <xf numFmtId="49" fontId="11" fillId="0" borderId="2" xfId="81" applyNumberFormat="1" applyFont="1" applyBorder="1" applyAlignment="1">
      <alignment horizontal="center" vertical="center" wrapText="1"/>
    </xf>
    <xf numFmtId="0" fontId="22" fillId="0" borderId="12" xfId="81" applyFont="1" applyBorder="1" applyAlignment="1">
      <alignment horizontal="right" vertical="center" wrapText="1"/>
    </xf>
    <xf numFmtId="0" fontId="12" fillId="13" borderId="24" xfId="81" applyFont="1" applyFill="1" applyBorder="1" applyAlignment="1">
      <alignment horizontal="left" vertical="center"/>
    </xf>
    <xf numFmtId="0" fontId="12" fillId="13" borderId="27" xfId="81" applyFont="1" applyFill="1" applyBorder="1" applyAlignment="1">
      <alignment horizontal="left" vertical="center"/>
    </xf>
    <xf numFmtId="0" fontId="11" fillId="0" borderId="7" xfId="81" applyFont="1" applyBorder="1" applyAlignment="1">
      <alignment horizontal="center" vertical="center"/>
    </xf>
    <xf numFmtId="0" fontId="11" fillId="0" borderId="1" xfId="81" applyFont="1" applyBorder="1" applyAlignment="1">
      <alignment horizontal="center" vertical="center"/>
    </xf>
    <xf numFmtId="0" fontId="11" fillId="0" borderId="8" xfId="81" applyFont="1" applyBorder="1" applyAlignment="1">
      <alignment horizontal="center" vertical="center"/>
    </xf>
    <xf numFmtId="0" fontId="7" fillId="0" borderId="7" xfId="81" applyFont="1" applyBorder="1" applyAlignment="1">
      <alignment horizontal="center" vertical="center"/>
    </xf>
    <xf numFmtId="0" fontId="7" fillId="0" borderId="1" xfId="81" applyFont="1" applyBorder="1" applyAlignment="1">
      <alignment horizontal="center" vertical="center"/>
    </xf>
    <xf numFmtId="0" fontId="7" fillId="0" borderId="8" xfId="81" applyFont="1" applyBorder="1" applyAlignment="1">
      <alignment horizontal="center" vertical="center"/>
    </xf>
    <xf numFmtId="0" fontId="12" fillId="0" borderId="21" xfId="81" applyFont="1" applyBorder="1" applyAlignment="1">
      <alignment horizontal="right" vertical="center"/>
    </xf>
    <xf numFmtId="0" fontId="12" fillId="0" borderId="22" xfId="81" applyFont="1" applyBorder="1" applyAlignment="1">
      <alignment horizontal="right" vertical="center"/>
    </xf>
    <xf numFmtId="0" fontId="12" fillId="0" borderId="27" xfId="81" applyFont="1" applyBorder="1" applyAlignment="1">
      <alignment horizontal="right" vertical="center"/>
    </xf>
    <xf numFmtId="0" fontId="12" fillId="5" borderId="24" xfId="81" applyFont="1" applyFill="1" applyBorder="1" applyAlignment="1">
      <alignment horizontal="left" vertical="center" wrapText="1"/>
    </xf>
    <xf numFmtId="0" fontId="12" fillId="5" borderId="27" xfId="81" applyFont="1" applyFill="1" applyBorder="1" applyAlignment="1">
      <alignment horizontal="left" vertical="center" wrapText="1"/>
    </xf>
    <xf numFmtId="49" fontId="7" fillId="0" borderId="82" xfId="0" applyNumberFormat="1" applyFont="1" applyFill="1" applyBorder="1" applyAlignment="1">
      <alignment horizontal="center" vertical="center" wrapText="1"/>
    </xf>
    <xf numFmtId="2" fontId="7" fillId="0" borderId="65" xfId="0" applyNumberFormat="1" applyFont="1" applyBorder="1" applyAlignment="1">
      <alignment horizontal="center" vertical="center" wrapText="1"/>
    </xf>
    <xf numFmtId="2" fontId="7" fillId="0" borderId="66" xfId="0" applyNumberFormat="1" applyFont="1" applyBorder="1" applyAlignment="1">
      <alignment horizontal="center" vertical="center" wrapText="1"/>
    </xf>
    <xf numFmtId="2" fontId="7" fillId="0" borderId="67" xfId="0" applyNumberFormat="1" applyFont="1" applyBorder="1" applyAlignment="1">
      <alignment horizontal="center" vertical="center" wrapText="1"/>
    </xf>
    <xf numFmtId="49" fontId="7" fillId="0" borderId="13" xfId="0" applyNumberFormat="1" applyFont="1" applyBorder="1" applyAlignment="1" applyProtection="1">
      <alignment horizontal="center" vertical="center" wrapText="1"/>
      <protection locked="0"/>
    </xf>
    <xf numFmtId="2" fontId="7" fillId="0" borderId="65" xfId="0" applyNumberFormat="1" applyFont="1" applyFill="1" applyBorder="1" applyAlignment="1">
      <alignment horizontal="center" vertical="center" wrapText="1"/>
    </xf>
    <xf numFmtId="2" fontId="7" fillId="0" borderId="66" xfId="0" applyNumberFormat="1" applyFont="1" applyFill="1" applyBorder="1" applyAlignment="1">
      <alignment horizontal="center" vertical="center" wrapText="1"/>
    </xf>
    <xf numFmtId="2" fontId="7" fillId="0" borderId="67" xfId="0" applyNumberFormat="1" applyFont="1" applyFill="1" applyBorder="1" applyAlignment="1">
      <alignment horizontal="center" vertical="center" wrapText="1"/>
    </xf>
    <xf numFmtId="49" fontId="7" fillId="0" borderId="13" xfId="0" applyNumberFormat="1" applyFont="1" applyFill="1" applyBorder="1" applyAlignment="1" applyProtection="1">
      <alignment horizontal="center" vertical="center" wrapText="1"/>
      <protection locked="0"/>
    </xf>
    <xf numFmtId="49" fontId="7" fillId="0" borderId="65" xfId="0" applyNumberFormat="1" applyFont="1" applyBorder="1" applyAlignment="1">
      <alignment horizontal="center" vertical="center" wrapText="1"/>
    </xf>
    <xf numFmtId="49" fontId="7" fillId="0" borderId="66" xfId="0" applyNumberFormat="1" applyFont="1" applyBorder="1" applyAlignment="1">
      <alignment horizontal="center" vertical="center" wrapText="1"/>
    </xf>
    <xf numFmtId="49" fontId="7" fillId="0" borderId="67" xfId="0" applyNumberFormat="1" applyFont="1" applyBorder="1" applyAlignment="1">
      <alignment horizontal="center" vertical="center" wrapText="1"/>
    </xf>
    <xf numFmtId="49" fontId="7" fillId="0" borderId="16" xfId="0" applyNumberFormat="1" applyFont="1" applyFill="1" applyBorder="1" applyAlignment="1">
      <alignment horizontal="center" vertical="center" wrapText="1"/>
    </xf>
    <xf numFmtId="49" fontId="7" fillId="0" borderId="13" xfId="0" applyNumberFormat="1" applyFont="1" applyBorder="1" applyAlignment="1">
      <alignment horizontal="center" vertical="center" wrapText="1"/>
    </xf>
    <xf numFmtId="0" fontId="9" fillId="3" borderId="24" xfId="0" applyFont="1" applyFill="1" applyBorder="1" applyAlignment="1" applyProtection="1">
      <alignment horizontal="center" vertical="center" wrapText="1"/>
      <protection locked="0"/>
    </xf>
    <xf numFmtId="0" fontId="9" fillId="3" borderId="22" xfId="0" applyFont="1" applyFill="1" applyBorder="1" applyAlignment="1" applyProtection="1">
      <alignment horizontal="center" vertical="center" wrapText="1"/>
      <protection locked="0"/>
    </xf>
    <xf numFmtId="0" fontId="2" fillId="3" borderId="22" xfId="0" applyFont="1" applyFill="1" applyBorder="1" applyAlignment="1" applyProtection="1">
      <alignment wrapText="1"/>
      <protection locked="0"/>
    </xf>
    <xf numFmtId="0" fontId="2" fillId="3" borderId="27" xfId="0" applyFont="1" applyFill="1" applyBorder="1" applyAlignment="1" applyProtection="1">
      <alignment wrapText="1"/>
      <protection locked="0"/>
    </xf>
    <xf numFmtId="49" fontId="7" fillId="0" borderId="63" xfId="0" applyNumberFormat="1" applyFont="1" applyBorder="1" applyAlignment="1">
      <alignment horizontal="center" vertical="center" wrapText="1"/>
    </xf>
    <xf numFmtId="49" fontId="11" fillId="0" borderId="69" xfId="0" applyNumberFormat="1" applyFont="1" applyBorder="1" applyAlignment="1">
      <alignment horizontal="center" vertical="center" wrapText="1"/>
    </xf>
    <xf numFmtId="0" fontId="7" fillId="0" borderId="70" xfId="0" applyFont="1" applyBorder="1" applyAlignment="1">
      <alignment wrapText="1"/>
    </xf>
    <xf numFmtId="0" fontId="7" fillId="0" borderId="71" xfId="0" applyFont="1" applyBorder="1" applyAlignment="1">
      <alignment wrapText="1"/>
    </xf>
    <xf numFmtId="49" fontId="7" fillId="0" borderId="22" xfId="0" applyNumberFormat="1" applyFont="1" applyBorder="1" applyAlignment="1">
      <alignment horizontal="center" vertical="center" wrapText="1"/>
    </xf>
    <xf numFmtId="0" fontId="7" fillId="0" borderId="16" xfId="0" applyFont="1" applyBorder="1" applyAlignment="1">
      <alignment horizontal="center" wrapText="1"/>
    </xf>
    <xf numFmtId="49" fontId="7" fillId="0" borderId="16" xfId="0" applyNumberFormat="1" applyFont="1" applyBorder="1" applyAlignment="1">
      <alignment horizontal="center" vertical="center" wrapText="1"/>
    </xf>
    <xf numFmtId="2" fontId="7" fillId="0" borderId="16" xfId="64" applyNumberFormat="1" applyFont="1" applyBorder="1" applyAlignment="1">
      <alignment horizontal="center" vertical="center" wrapText="1"/>
    </xf>
    <xf numFmtId="0" fontId="18" fillId="0" borderId="35" xfId="64" applyFont="1" applyBorder="1" applyAlignment="1">
      <alignment horizontal="center" vertical="center"/>
    </xf>
    <xf numFmtId="0" fontId="18" fillId="0" borderId="1" xfId="64" applyFont="1" applyBorder="1" applyAlignment="1">
      <alignment horizontal="center" vertical="center"/>
    </xf>
    <xf numFmtId="0" fontId="18" fillId="0" borderId="36" xfId="64" applyFont="1" applyBorder="1" applyAlignment="1">
      <alignment horizontal="center" vertical="center"/>
    </xf>
    <xf numFmtId="49" fontId="7" fillId="0" borderId="13" xfId="0" applyNumberFormat="1" applyFont="1" applyFill="1" applyBorder="1" applyAlignment="1">
      <alignment horizontal="center" vertical="center" wrapText="1"/>
    </xf>
    <xf numFmtId="49" fontId="16" fillId="0" borderId="16" xfId="0" applyNumberFormat="1" applyFont="1" applyBorder="1" applyAlignment="1">
      <alignment horizontal="center" vertical="center" wrapText="1"/>
    </xf>
    <xf numFmtId="49" fontId="7" fillId="0" borderId="76" xfId="0" applyNumberFormat="1" applyFont="1" applyBorder="1" applyAlignment="1">
      <alignment horizontal="center" vertical="center" wrapText="1"/>
    </xf>
    <xf numFmtId="49" fontId="7" fillId="0" borderId="77" xfId="0" applyNumberFormat="1" applyFont="1" applyBorder="1" applyAlignment="1">
      <alignment horizontal="center" vertical="center" wrapText="1"/>
    </xf>
    <xf numFmtId="49" fontId="7" fillId="0" borderId="78" xfId="0" applyNumberFormat="1" applyFont="1" applyBorder="1" applyAlignment="1">
      <alignment horizontal="center" vertical="center" wrapText="1"/>
    </xf>
    <xf numFmtId="49" fontId="16" fillId="0" borderId="82" xfId="0" applyNumberFormat="1" applyFont="1" applyBorder="1" applyAlignment="1">
      <alignment horizontal="center" vertical="center" wrapText="1"/>
    </xf>
    <xf numFmtId="0" fontId="12" fillId="4" borderId="2" xfId="0" applyFont="1" applyFill="1" applyBorder="1" applyAlignment="1">
      <alignment horizontal="center" vertical="center" wrapText="1"/>
    </xf>
    <xf numFmtId="0" fontId="12" fillId="0" borderId="2" xfId="0" applyFont="1" applyFill="1" applyBorder="1" applyAlignment="1">
      <alignment horizontal="right" wrapText="1"/>
    </xf>
    <xf numFmtId="0" fontId="33" fillId="0" borderId="24" xfId="0" applyFont="1" applyBorder="1" applyAlignment="1">
      <alignment horizontal="center"/>
    </xf>
    <xf numFmtId="0" fontId="33" fillId="0" borderId="22" xfId="0" applyFont="1" applyBorder="1" applyAlignment="1">
      <alignment horizontal="center"/>
    </xf>
    <xf numFmtId="0" fontId="33" fillId="0" borderId="27" xfId="0" applyFont="1" applyBorder="1" applyAlignment="1">
      <alignment horizontal="center"/>
    </xf>
    <xf numFmtId="3" fontId="12" fillId="0" borderId="2" xfId="5" applyNumberFormat="1" applyFont="1" applyBorder="1" applyAlignment="1">
      <alignment horizontal="left" vertical="center" wrapText="1"/>
    </xf>
    <xf numFmtId="3" fontId="12" fillId="0" borderId="2" xfId="0" applyNumberFormat="1" applyFont="1" applyBorder="1" applyAlignment="1">
      <alignment horizontal="left" vertical="center" wrapText="1"/>
    </xf>
    <xf numFmtId="0" fontId="12" fillId="0" borderId="2" xfId="0" applyFont="1" applyBorder="1" applyAlignment="1">
      <alignment horizontal="right" wrapText="1"/>
    </xf>
    <xf numFmtId="0" fontId="12" fillId="0" borderId="2" xfId="0" applyFont="1" applyBorder="1" applyAlignment="1">
      <alignment horizontal="right"/>
    </xf>
    <xf numFmtId="0" fontId="20" fillId="1" borderId="24" xfId="0" applyFont="1" applyFill="1" applyBorder="1" applyAlignment="1">
      <alignment horizontal="center"/>
    </xf>
    <xf numFmtId="0" fontId="20" fillId="1" borderId="22" xfId="0" applyFont="1" applyFill="1" applyBorder="1" applyAlignment="1">
      <alignment horizontal="center"/>
    </xf>
    <xf numFmtId="0" fontId="20" fillId="1" borderId="27" xfId="0" applyFont="1" applyFill="1" applyBorder="1" applyAlignment="1">
      <alignment horizontal="center"/>
    </xf>
    <xf numFmtId="0" fontId="1" fillId="0" borderId="35"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36" xfId="0" applyFont="1" applyFill="1" applyBorder="1" applyAlignment="1">
      <alignment horizontal="center" vertical="center"/>
    </xf>
    <xf numFmtId="0" fontId="18" fillId="0" borderId="35"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36" xfId="0" applyFont="1" applyFill="1" applyBorder="1" applyAlignment="1">
      <alignment horizontal="center" vertical="center"/>
    </xf>
    <xf numFmtId="0" fontId="8" fillId="2" borderId="2" xfId="0" applyFont="1" applyFill="1" applyBorder="1" applyAlignment="1">
      <alignment horizontal="right"/>
    </xf>
    <xf numFmtId="0" fontId="7" fillId="0" borderId="29" xfId="0" applyFont="1" applyBorder="1" applyAlignment="1">
      <alignment horizontal="center"/>
    </xf>
    <xf numFmtId="0" fontId="9" fillId="0" borderId="24"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18" fillId="0" borderId="8" xfId="0" applyFont="1" applyBorder="1" applyAlignment="1">
      <alignment horizontal="center" wrapText="1"/>
    </xf>
    <xf numFmtId="0" fontId="37" fillId="6" borderId="24" xfId="0" applyFont="1" applyFill="1" applyBorder="1" applyAlignment="1">
      <alignment horizontal="center" vertical="center" wrapText="1"/>
    </xf>
    <xf numFmtId="0" fontId="37" fillId="6" borderId="27" xfId="0" applyFont="1" applyFill="1" applyBorder="1" applyAlignment="1">
      <alignment horizontal="center" vertical="center" wrapText="1"/>
    </xf>
    <xf numFmtId="0" fontId="8" fillId="6" borderId="24" xfId="0" applyFont="1" applyFill="1" applyBorder="1" applyAlignment="1">
      <alignment horizontal="center"/>
    </xf>
    <xf numFmtId="0" fontId="8" fillId="6" borderId="23" xfId="0" applyFont="1" applyFill="1" applyBorder="1" applyAlignment="1">
      <alignment horizontal="center"/>
    </xf>
    <xf numFmtId="0" fontId="36" fillId="0" borderId="13" xfId="0" applyFont="1" applyBorder="1" applyAlignment="1">
      <alignment horizontal="left" vertical="center"/>
    </xf>
    <xf numFmtId="164" fontId="10" fillId="0" borderId="24" xfId="2" applyFont="1" applyFill="1" applyBorder="1" applyAlignment="1">
      <alignment horizontal="center"/>
    </xf>
    <xf numFmtId="164" fontId="10" fillId="0" borderId="23" xfId="2" applyFont="1" applyFill="1" applyBorder="1" applyAlignment="1">
      <alignment horizontal="center"/>
    </xf>
    <xf numFmtId="0" fontId="18" fillId="0" borderId="8" xfId="0" applyFont="1" applyFill="1" applyBorder="1" applyAlignment="1">
      <alignment horizontal="center"/>
    </xf>
    <xf numFmtId="0" fontId="36" fillId="0" borderId="63" xfId="0" applyFont="1" applyBorder="1" applyAlignment="1">
      <alignment horizontal="left" vertical="center"/>
    </xf>
    <xf numFmtId="0" fontId="39" fillId="0" borderId="7" xfId="0" applyFont="1" applyBorder="1" applyAlignment="1">
      <alignment horizontal="left" vertical="center"/>
    </xf>
    <xf numFmtId="0" fontId="39" fillId="0" borderId="1" xfId="0" applyFont="1" applyBorder="1" applyAlignment="1">
      <alignment horizontal="left"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0" fontId="1" fillId="0" borderId="23" xfId="0" applyFont="1" applyFill="1" applyBorder="1" applyAlignment="1">
      <alignment horizontal="center" vertical="center"/>
    </xf>
    <xf numFmtId="49" fontId="10" fillId="0" borderId="21" xfId="0" applyNumberFormat="1" applyFont="1" applyFill="1" applyBorder="1" applyAlignment="1">
      <alignment horizontal="center"/>
    </xf>
    <xf numFmtId="49" fontId="10" fillId="0" borderId="22" xfId="0" applyNumberFormat="1" applyFont="1" applyFill="1" applyBorder="1" applyAlignment="1">
      <alignment horizontal="center"/>
    </xf>
    <xf numFmtId="49" fontId="10" fillId="0" borderId="23" xfId="0" applyNumberFormat="1" applyFont="1" applyFill="1" applyBorder="1" applyAlignment="1">
      <alignment horizontal="center"/>
    </xf>
    <xf numFmtId="0" fontId="1" fillId="0" borderId="8" xfId="0" applyFont="1" applyFill="1" applyBorder="1" applyAlignment="1">
      <alignment horizontal="center" vertical="center"/>
    </xf>
    <xf numFmtId="0" fontId="18" fillId="0" borderId="8" xfId="0" applyFont="1" applyFill="1" applyBorder="1" applyAlignment="1">
      <alignment horizontal="center" vertical="center"/>
    </xf>
    <xf numFmtId="0" fontId="27" fillId="0" borderId="2" xfId="0" applyFont="1" applyBorder="1" applyAlignment="1">
      <alignment horizontal="center" vertical="center"/>
    </xf>
    <xf numFmtId="0" fontId="27" fillId="0" borderId="2" xfId="0" applyFont="1" applyBorder="1" applyAlignment="1">
      <alignment horizontal="right" vertical="center" wrapText="1"/>
    </xf>
    <xf numFmtId="0" fontId="23" fillId="0" borderId="0" xfId="0" applyFont="1" applyAlignment="1">
      <alignment horizontal="center" vertical="center"/>
    </xf>
    <xf numFmtId="0" fontId="27" fillId="0" borderId="2"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27" fillId="5" borderId="2" xfId="0" applyFont="1" applyFill="1" applyBorder="1" applyAlignment="1">
      <alignment horizontal="center" vertical="center"/>
    </xf>
    <xf numFmtId="0" fontId="29" fillId="0" borderId="24" xfId="0" applyFont="1" applyBorder="1" applyAlignment="1">
      <alignment horizontal="right"/>
    </xf>
    <xf numFmtId="0" fontId="29" fillId="0" borderId="22" xfId="0" applyFont="1" applyBorder="1" applyAlignment="1">
      <alignment horizontal="right"/>
    </xf>
    <xf numFmtId="0" fontId="29" fillId="0" borderId="27" xfId="0" applyFont="1" applyBorder="1" applyAlignment="1">
      <alignment horizontal="right"/>
    </xf>
    <xf numFmtId="0" fontId="27" fillId="5" borderId="25" xfId="0" applyFont="1" applyFill="1" applyBorder="1" applyAlignment="1">
      <alignment horizontal="center" vertical="center"/>
    </xf>
    <xf numFmtId="0" fontId="27" fillId="5" borderId="26" xfId="0" applyFont="1" applyFill="1" applyBorder="1" applyAlignment="1">
      <alignment horizontal="center" vertical="center"/>
    </xf>
    <xf numFmtId="0" fontId="29" fillId="0" borderId="1" xfId="0" applyFont="1" applyFill="1" applyBorder="1" applyAlignment="1">
      <alignment horizontal="right"/>
    </xf>
    <xf numFmtId="0" fontId="27" fillId="5" borderId="24" xfId="0" applyFont="1" applyFill="1" applyBorder="1" applyAlignment="1">
      <alignment horizontal="center" vertical="center"/>
    </xf>
    <xf numFmtId="0" fontId="27" fillId="5" borderId="22" xfId="0" applyFont="1" applyFill="1" applyBorder="1" applyAlignment="1">
      <alignment horizontal="center" vertical="center"/>
    </xf>
    <xf numFmtId="0" fontId="27" fillId="5" borderId="27" xfId="0" applyFont="1" applyFill="1" applyBorder="1" applyAlignment="1">
      <alignment horizontal="center" vertical="center"/>
    </xf>
    <xf numFmtId="0" fontId="27" fillId="0" borderId="2" xfId="0" applyFont="1" applyFill="1" applyBorder="1" applyAlignment="1">
      <alignment horizontal="center" vertical="center"/>
    </xf>
  </cellXfs>
  <cellStyles count="238">
    <cellStyle name="Moeda" xfId="2" builtinId="4"/>
    <cellStyle name="Moeda 10" xfId="133"/>
    <cellStyle name="Moeda 11" xfId="233"/>
    <cellStyle name="Moeda 12" xfId="122"/>
    <cellStyle name="Moeda 2" xfId="6"/>
    <cellStyle name="Moeda 2 2" xfId="17"/>
    <cellStyle name="Moeda 2 2 2" xfId="31"/>
    <cellStyle name="Moeda 2 2 2 2" xfId="71"/>
    <cellStyle name="Moeda 2 2 2 2 2" xfId="186"/>
    <cellStyle name="Moeda 2 2 2 3" xfId="107"/>
    <cellStyle name="Moeda 2 2 2 3 2" xfId="216"/>
    <cellStyle name="Moeda 2 2 2 4" xfId="154"/>
    <cellStyle name="Moeda 2 2 3" xfId="47"/>
    <cellStyle name="Moeda 2 2 3 2" xfId="87"/>
    <cellStyle name="Moeda 2 2 3 2 2" xfId="196"/>
    <cellStyle name="Moeda 2 2 3 3" xfId="117"/>
    <cellStyle name="Moeda 2 2 3 3 2" xfId="226"/>
    <cellStyle name="Moeda 2 2 3 4" xfId="164"/>
    <cellStyle name="Moeda 2 2 4" xfId="59"/>
    <cellStyle name="Moeda 2 2 4 2" xfId="176"/>
    <cellStyle name="Moeda 2 2 5" xfId="100"/>
    <cellStyle name="Moeda 2 2 5 2" xfId="209"/>
    <cellStyle name="Moeda 2 2 6" xfId="142"/>
    <cellStyle name="Moeda 2 2 7" xfId="127"/>
    <cellStyle name="Moeda 2 3" xfId="12"/>
    <cellStyle name="Moeda 2 3 2" xfId="39"/>
    <cellStyle name="Moeda 2 3 2 2" xfId="79"/>
    <cellStyle name="Moeda 2 3 2 2 2" xfId="189"/>
    <cellStyle name="Moeda 2 3 2 3" xfId="110"/>
    <cellStyle name="Moeda 2 3 2 3 2" xfId="219"/>
    <cellStyle name="Moeda 2 3 2 4" xfId="157"/>
    <cellStyle name="Moeda 2 3 3" xfId="50"/>
    <cellStyle name="Moeda 2 3 3 2" xfId="90"/>
    <cellStyle name="Moeda 2 3 3 2 2" xfId="199"/>
    <cellStyle name="Moeda 2 3 3 3" xfId="120"/>
    <cellStyle name="Moeda 2 3 3 3 2" xfId="229"/>
    <cellStyle name="Moeda 2 3 3 4" xfId="167"/>
    <cellStyle name="Moeda 2 3 4" xfId="62"/>
    <cellStyle name="Moeda 2 3 4 2" xfId="179"/>
    <cellStyle name="Moeda 2 3 5" xfId="96"/>
    <cellStyle name="Moeda 2 3 5 2" xfId="205"/>
    <cellStyle name="Moeda 2 3 6" xfId="137"/>
    <cellStyle name="Moeda 2 3 7" xfId="130"/>
    <cellStyle name="Moeda 2 4" xfId="26"/>
    <cellStyle name="Moeda 2 4 2" xfId="66"/>
    <cellStyle name="Moeda 2 4 2 2" xfId="182"/>
    <cellStyle name="Moeda 2 4 3" xfId="103"/>
    <cellStyle name="Moeda 2 4 3 2" xfId="212"/>
    <cellStyle name="Moeda 2 4 4" xfId="150"/>
    <cellStyle name="Moeda 2 5" xfId="43"/>
    <cellStyle name="Moeda 2 5 2" xfId="83"/>
    <cellStyle name="Moeda 2 5 2 2" xfId="192"/>
    <cellStyle name="Moeda 2 5 3" xfId="113"/>
    <cellStyle name="Moeda 2 5 3 2" xfId="222"/>
    <cellStyle name="Moeda 2 5 4" xfId="160"/>
    <cellStyle name="Moeda 2 6" xfId="54"/>
    <cellStyle name="Moeda 2 6 2" xfId="171"/>
    <cellStyle name="Moeda 2 7" xfId="93"/>
    <cellStyle name="Moeda 2 7 2" xfId="202"/>
    <cellStyle name="Moeda 2 8" xfId="134"/>
    <cellStyle name="Moeda 2 9" xfId="123"/>
    <cellStyle name="Moeda 3" xfId="10"/>
    <cellStyle name="Moeda 3 2" xfId="20"/>
    <cellStyle name="Moeda 3 2 2" xfId="34"/>
    <cellStyle name="Moeda 3 2 2 2" xfId="74"/>
    <cellStyle name="Moeda 3 2 2 2 2" xfId="187"/>
    <cellStyle name="Moeda 3 2 2 3" xfId="108"/>
    <cellStyle name="Moeda 3 2 2 3 2" xfId="217"/>
    <cellStyle name="Moeda 3 2 2 4" xfId="155"/>
    <cellStyle name="Moeda 3 2 3" xfId="48"/>
    <cellStyle name="Moeda 3 2 3 2" xfId="88"/>
    <cellStyle name="Moeda 3 2 3 2 2" xfId="197"/>
    <cellStyle name="Moeda 3 2 3 3" xfId="118"/>
    <cellStyle name="Moeda 3 2 3 3 2" xfId="227"/>
    <cellStyle name="Moeda 3 2 3 4" xfId="165"/>
    <cellStyle name="Moeda 3 2 4" xfId="60"/>
    <cellStyle name="Moeda 3 2 4 2" xfId="177"/>
    <cellStyle name="Moeda 3 2 5" xfId="101"/>
    <cellStyle name="Moeda 3 2 5 2" xfId="210"/>
    <cellStyle name="Moeda 3 2 6" xfId="144"/>
    <cellStyle name="Moeda 3 2 7" xfId="128"/>
    <cellStyle name="Moeda 3 3" xfId="13"/>
    <cellStyle name="Moeda 3 3 2" xfId="40"/>
    <cellStyle name="Moeda 3 3 2 2" xfId="80"/>
    <cellStyle name="Moeda 3 3 2 2 2" xfId="190"/>
    <cellStyle name="Moeda 3 3 2 3" xfId="111"/>
    <cellStyle name="Moeda 3 3 2 3 2" xfId="220"/>
    <cellStyle name="Moeda 3 3 2 4" xfId="158"/>
    <cellStyle name="Moeda 3 3 3" xfId="51"/>
    <cellStyle name="Moeda 3 3 3 2" xfId="91"/>
    <cellStyle name="Moeda 3 3 3 2 2" xfId="200"/>
    <cellStyle name="Moeda 3 3 3 3" xfId="121"/>
    <cellStyle name="Moeda 3 3 3 3 2" xfId="230"/>
    <cellStyle name="Moeda 3 3 3 4" xfId="168"/>
    <cellStyle name="Moeda 3 3 4" xfId="63"/>
    <cellStyle name="Moeda 3 3 4 2" xfId="180"/>
    <cellStyle name="Moeda 3 3 5" xfId="97"/>
    <cellStyle name="Moeda 3 3 5 2" xfId="206"/>
    <cellStyle name="Moeda 3 3 6" xfId="138"/>
    <cellStyle name="Moeda 3 3 7" xfId="131"/>
    <cellStyle name="Moeda 3 4" xfId="27"/>
    <cellStyle name="Moeda 3 4 2" xfId="67"/>
    <cellStyle name="Moeda 3 4 2 2" xfId="183"/>
    <cellStyle name="Moeda 3 4 3" xfId="104"/>
    <cellStyle name="Moeda 3 4 3 2" xfId="213"/>
    <cellStyle name="Moeda 3 4 4" xfId="151"/>
    <cellStyle name="Moeda 3 5" xfId="44"/>
    <cellStyle name="Moeda 3 5 2" xfId="84"/>
    <cellStyle name="Moeda 3 5 2 2" xfId="193"/>
    <cellStyle name="Moeda 3 5 3" xfId="114"/>
    <cellStyle name="Moeda 3 5 3 2" xfId="223"/>
    <cellStyle name="Moeda 3 5 4" xfId="161"/>
    <cellStyle name="Moeda 3 6" xfId="56"/>
    <cellStyle name="Moeda 3 6 2" xfId="173"/>
    <cellStyle name="Moeda 3 7" xfId="94"/>
    <cellStyle name="Moeda 3 7 2" xfId="203"/>
    <cellStyle name="Moeda 3 8" xfId="135"/>
    <cellStyle name="Moeda 3 9" xfId="124"/>
    <cellStyle name="Moeda 4" xfId="16"/>
    <cellStyle name="Moeda 4 2" xfId="30"/>
    <cellStyle name="Moeda 4 2 2" xfId="70"/>
    <cellStyle name="Moeda 4 2 2 2" xfId="185"/>
    <cellStyle name="Moeda 4 2 3" xfId="106"/>
    <cellStyle name="Moeda 4 2 3 2" xfId="215"/>
    <cellStyle name="Moeda 4 2 4" xfId="153"/>
    <cellStyle name="Moeda 4 3" xfId="46"/>
    <cellStyle name="Moeda 4 3 2" xfId="86"/>
    <cellStyle name="Moeda 4 3 2 2" xfId="195"/>
    <cellStyle name="Moeda 4 3 3" xfId="116"/>
    <cellStyle name="Moeda 4 3 3 2" xfId="225"/>
    <cellStyle name="Moeda 4 3 4" xfId="163"/>
    <cellStyle name="Moeda 4 4" xfId="58"/>
    <cellStyle name="Moeda 4 4 2" xfId="175"/>
    <cellStyle name="Moeda 4 5" xfId="99"/>
    <cellStyle name="Moeda 4 5 2" xfId="208"/>
    <cellStyle name="Moeda 4 6" xfId="141"/>
    <cellStyle name="Moeda 4 7" xfId="126"/>
    <cellStyle name="Moeda 5" xfId="11"/>
    <cellStyle name="Moeda 5 2" xfId="38"/>
    <cellStyle name="Moeda 5 2 2" xfId="78"/>
    <cellStyle name="Moeda 5 2 2 2" xfId="188"/>
    <cellStyle name="Moeda 5 2 3" xfId="109"/>
    <cellStyle name="Moeda 5 2 3 2" xfId="218"/>
    <cellStyle name="Moeda 5 2 4" xfId="156"/>
    <cellStyle name="Moeda 5 3" xfId="49"/>
    <cellStyle name="Moeda 5 3 2" xfId="89"/>
    <cellStyle name="Moeda 5 3 2 2" xfId="198"/>
    <cellStyle name="Moeda 5 3 3" xfId="119"/>
    <cellStyle name="Moeda 5 3 3 2" xfId="228"/>
    <cellStyle name="Moeda 5 3 4" xfId="166"/>
    <cellStyle name="Moeda 5 4" xfId="61"/>
    <cellStyle name="Moeda 5 4 2" xfId="178"/>
    <cellStyle name="Moeda 5 5" xfId="95"/>
    <cellStyle name="Moeda 5 5 2" xfId="204"/>
    <cellStyle name="Moeda 5 6" xfId="136"/>
    <cellStyle name="Moeda 5 7" xfId="129"/>
    <cellStyle name="Moeda 6" xfId="25"/>
    <cellStyle name="Moeda 6 2" xfId="65"/>
    <cellStyle name="Moeda 6 2 2" xfId="181"/>
    <cellStyle name="Moeda 6 3" xfId="102"/>
    <cellStyle name="Moeda 6 3 2" xfId="211"/>
    <cellStyle name="Moeda 6 4" xfId="149"/>
    <cellStyle name="Moeda 7" xfId="42"/>
    <cellStyle name="Moeda 7 2" xfId="82"/>
    <cellStyle name="Moeda 7 2 2" xfId="191"/>
    <cellStyle name="Moeda 7 3" xfId="112"/>
    <cellStyle name="Moeda 7 3 2" xfId="221"/>
    <cellStyle name="Moeda 7 4" xfId="159"/>
    <cellStyle name="Moeda 8" xfId="53"/>
    <cellStyle name="Moeda 8 2" xfId="170"/>
    <cellStyle name="Moeda 9" xfId="92"/>
    <cellStyle name="Moeda 9 2" xfId="201"/>
    <cellStyle name="Normal" xfId="0" builtinId="0"/>
    <cellStyle name="Normal 10" xfId="24"/>
    <cellStyle name="Normal 10 2" xfId="64"/>
    <cellStyle name="Normal 10 3" xfId="148"/>
    <cellStyle name="Normal 11" xfId="41"/>
    <cellStyle name="Normal 11 2" xfId="81"/>
    <cellStyle name="Normal 12" xfId="52"/>
    <cellStyle name="Normal 12 2" xfId="169"/>
    <cellStyle name="Normal 13" xfId="55"/>
    <cellStyle name="Normal 13 2" xfId="172"/>
    <cellStyle name="Normal 14" xfId="132"/>
    <cellStyle name="Normal 15" xfId="231"/>
    <cellStyle name="Normal 16" xfId="232"/>
    <cellStyle name="Normal 2" xfId="5"/>
    <cellStyle name="Normal 2 4" xfId="4"/>
    <cellStyle name="Normal 3" xfId="9"/>
    <cellStyle name="Normal 3 2" xfId="19"/>
    <cellStyle name="Normal 3 3" xfId="33"/>
    <cellStyle name="Normal 3 3 2" xfId="73"/>
    <cellStyle name="Normal 4" xfId="8"/>
    <cellStyle name="Normal 5" xfId="15"/>
    <cellStyle name="Normal 5 2" xfId="29"/>
    <cellStyle name="Normal 5 2 2" xfId="69"/>
    <cellStyle name="Normal 5 3" xfId="140"/>
    <cellStyle name="Normal 5 4" xfId="235"/>
    <cellStyle name="Normal 6" xfId="18"/>
    <cellStyle name="Normal 6 2" xfId="32"/>
    <cellStyle name="Normal 6 2 2" xfId="72"/>
    <cellStyle name="Normal 6 3" xfId="143"/>
    <cellStyle name="Normal 7" xfId="21"/>
    <cellStyle name="Normal 7 2" xfId="35"/>
    <cellStyle name="Normal 7 2 2" xfId="75"/>
    <cellStyle name="Normal 7 3" xfId="145"/>
    <cellStyle name="Normal 8" xfId="22"/>
    <cellStyle name="Normal 8 2" xfId="36"/>
    <cellStyle name="Normal 8 2 2" xfId="76"/>
    <cellStyle name="Normal 8 3" xfId="146"/>
    <cellStyle name="Normal 9" xfId="23"/>
    <cellStyle name="Normal 9 2" xfId="37"/>
    <cellStyle name="Normal 9 2 2" xfId="77"/>
    <cellStyle name="Normal 9 3" xfId="147"/>
    <cellStyle name="Normal 99" xfId="1"/>
    <cellStyle name="Normal_Pesquisa no referencial 10 de maio de 2013" xfId="234"/>
    <cellStyle name="Porcentagem" xfId="3" builtinId="5"/>
    <cellStyle name="Porcentagem 2" xfId="7"/>
    <cellStyle name="Porcentagem 3" xfId="237"/>
    <cellStyle name="Vírgula 2" xfId="14"/>
    <cellStyle name="Vírgula 2 2" xfId="28"/>
    <cellStyle name="Vírgula 2 2 2" xfId="68"/>
    <cellStyle name="Vírgula 2 2 2 2" xfId="184"/>
    <cellStyle name="Vírgula 2 2 3" xfId="105"/>
    <cellStyle name="Vírgula 2 2 3 2" xfId="214"/>
    <cellStyle name="Vírgula 2 2 4" xfId="152"/>
    <cellStyle name="Vírgula 2 3" xfId="45"/>
    <cellStyle name="Vírgula 2 3 2" xfId="85"/>
    <cellStyle name="Vírgula 2 3 2 2" xfId="194"/>
    <cellStyle name="Vírgula 2 3 3" xfId="115"/>
    <cellStyle name="Vírgula 2 3 3 2" xfId="224"/>
    <cellStyle name="Vírgula 2 3 4" xfId="162"/>
    <cellStyle name="Vírgula 2 4" xfId="57"/>
    <cellStyle name="Vírgula 2 4 2" xfId="174"/>
    <cellStyle name="Vírgula 2 5" xfId="98"/>
    <cellStyle name="Vírgula 2 5 2" xfId="207"/>
    <cellStyle name="Vírgula 2 6" xfId="139"/>
    <cellStyle name="Vírgula 2 7" xfId="125"/>
    <cellStyle name="Vírgula 2 8" xfId="236"/>
  </cellStyles>
  <dxfs count="6">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MEM&#211;RIA DE C&#193;LCULO'!A1"/><Relationship Id="rId1" Type="http://schemas.openxmlformats.org/officeDocument/2006/relationships/hyperlink" Target="#PLANILHA!A1"/><Relationship Id="rId5" Type="http://schemas.openxmlformats.org/officeDocument/2006/relationships/hyperlink" Target="#COTA&#199;&#213;ES!A1"/><Relationship Id="rId4" Type="http://schemas.openxmlformats.org/officeDocument/2006/relationships/hyperlink" Target="#CRONOGRAMA!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hyperlink" Target="#'MEM&#211;RIA DE C&#193;LCULO'!A1"/><Relationship Id="rId1" Type="http://schemas.openxmlformats.org/officeDocument/2006/relationships/hyperlink" Target="#DADOS!A1"/></Relationships>
</file>

<file path=xl/drawings/_rels/drawing4.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8.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10.emf"/></Relationships>
</file>

<file path=xl/drawings/_rels/drawing7.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 xmlns:a16="http://schemas.microsoft.com/office/drawing/2014/main"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1"/>
          <a:extLst>
            <a:ext uri="{FF2B5EF4-FFF2-40B4-BE49-F238E27FC236}">
              <a16:creationId xmlns="" xmlns:a16="http://schemas.microsoft.com/office/drawing/2014/main"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2"/>
          <a:extLst>
            <a:ext uri="{FF2B5EF4-FFF2-40B4-BE49-F238E27FC236}">
              <a16:creationId xmlns="" xmlns:a16="http://schemas.microsoft.com/office/drawing/2014/main"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3"/>
          <a:extLst>
            <a:ext uri="{FF2B5EF4-FFF2-40B4-BE49-F238E27FC236}">
              <a16:creationId xmlns="" xmlns:a16="http://schemas.microsoft.com/office/drawing/2014/main"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4"/>
          <a:extLst>
            <a:ext uri="{FF2B5EF4-FFF2-40B4-BE49-F238E27FC236}">
              <a16:creationId xmlns="" xmlns:a16="http://schemas.microsoft.com/office/drawing/2014/main"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5"/>
          <a:extLst>
            <a:ext uri="{FF2B5EF4-FFF2-40B4-BE49-F238E27FC236}">
              <a16:creationId xmlns="" xmlns:a16="http://schemas.microsoft.com/office/drawing/2014/main"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1"/>
          <a:extLst>
            <a:ext uri="{FF2B5EF4-FFF2-40B4-BE49-F238E27FC236}">
              <a16:creationId xmlns="" xmlns:a16="http://schemas.microsoft.com/office/drawing/2014/main"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1"/>
          <a:extLst>
            <a:ext uri="{FF2B5EF4-FFF2-40B4-BE49-F238E27FC236}">
              <a16:creationId xmlns="" xmlns:a16="http://schemas.microsoft.com/office/drawing/2014/main"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2"/>
          <a:extLst>
            <a:ext uri="{FF2B5EF4-FFF2-40B4-BE49-F238E27FC236}">
              <a16:creationId xmlns="" xmlns:a16="http://schemas.microsoft.com/office/drawing/2014/main"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372718</xdr:colOff>
      <xdr:row>0</xdr:row>
      <xdr:rowOff>182217</xdr:rowOff>
    </xdr:from>
    <xdr:to>
      <xdr:col>15</xdr:col>
      <xdr:colOff>183046</xdr:colOff>
      <xdr:row>1</xdr:row>
      <xdr:rowOff>165765</xdr:rowOff>
    </xdr:to>
    <xdr:sp macro="" textlink="">
      <xdr:nvSpPr>
        <xdr:cNvPr id="4" name="Seta: para a Esquerda 3">
          <a:hlinkClick xmlns:r="http://schemas.openxmlformats.org/officeDocument/2006/relationships" r:id="rId1"/>
          <a:extLst>
            <a:ext uri="{FF2B5EF4-FFF2-40B4-BE49-F238E27FC236}">
              <a16:creationId xmlns="" xmlns:a16="http://schemas.microsoft.com/office/drawing/2014/main"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9356</xdr:colOff>
      <xdr:row>1</xdr:row>
      <xdr:rowOff>38586</xdr:rowOff>
    </xdr:from>
    <xdr:to>
      <xdr:col>17</xdr:col>
      <xdr:colOff>12496</xdr:colOff>
      <xdr:row>2</xdr:row>
      <xdr:rowOff>44584</xdr:rowOff>
    </xdr:to>
    <xdr:sp macro="" textlink="">
      <xdr:nvSpPr>
        <xdr:cNvPr id="5" name="Retângulo: Cantos Arredondados 4">
          <a:hlinkClick xmlns:r="http://schemas.openxmlformats.org/officeDocument/2006/relationships" r:id="rId2"/>
          <a:extLst>
            <a:ext uri="{FF2B5EF4-FFF2-40B4-BE49-F238E27FC236}">
              <a16:creationId xmlns="" xmlns:a16="http://schemas.microsoft.com/office/drawing/2014/main"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14</xdr:col>
      <xdr:colOff>402762</xdr:colOff>
      <xdr:row>2</xdr:row>
      <xdr:rowOff>73714</xdr:rowOff>
    </xdr:from>
    <xdr:to>
      <xdr:col>15</xdr:col>
      <xdr:colOff>213090</xdr:colOff>
      <xdr:row>2</xdr:row>
      <xdr:rowOff>190536</xdr:rowOff>
    </xdr:to>
    <xdr:sp macro="" textlink="">
      <xdr:nvSpPr>
        <xdr:cNvPr id="6" name="Seta: para a Esquerda 5">
          <a:hlinkClick xmlns:r="http://schemas.openxmlformats.org/officeDocument/2006/relationships" r:id="rId3"/>
          <a:extLst>
            <a:ext uri="{FF2B5EF4-FFF2-40B4-BE49-F238E27FC236}">
              <a16:creationId xmlns="" xmlns:a16="http://schemas.microsoft.com/office/drawing/2014/main"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 xmlns:a16="http://schemas.microsoft.com/office/drawing/2014/main"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 xmlns:a16="http://schemas.microsoft.com/office/drawing/2014/main"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685799</xdr:colOff>
          <xdr:row>0</xdr:row>
          <xdr:rowOff>142875</xdr:rowOff>
        </xdr:from>
        <xdr:to>
          <xdr:col>8</xdr:col>
          <xdr:colOff>118019</xdr:colOff>
          <xdr:row>6</xdr:row>
          <xdr:rowOff>38100</xdr:rowOff>
        </xdr:to>
        <xdr:pic>
          <xdr:nvPicPr>
            <xdr:cNvPr id="6" name="Imagem 5">
              <a:extLst>
                <a:ext uri="{FF2B5EF4-FFF2-40B4-BE49-F238E27FC236}">
                  <a16:creationId xmlns="" xmlns:a16="http://schemas.microsoft.com/office/drawing/2014/main" id="{00000000-0008-0000-0400-000006000000}"/>
                </a:ext>
              </a:extLst>
            </xdr:cNvPr>
            <xdr:cNvPicPr>
              <a:picLocks noChangeAspect="1"/>
              <a:extLst>
                <a:ext uri="{84589F7E-364E-4C9E-8A38-B11213B215E9}">
                  <a14:cameraTool cellRange="ImgEscudo" spid="_x0000_s35515"/>
                </a:ext>
              </a:extLst>
            </xdr:cNvPicPr>
          </xdr:nvPicPr>
          <xdr:blipFill>
            <a:blip xmlns:r="http://schemas.openxmlformats.org/officeDocument/2006/relationships" r:embed="rId4"/>
            <a:stretch>
              <a:fillRect/>
            </a:stretch>
          </xdr:blipFill>
          <xdr:spPr>
            <a:xfrm>
              <a:off x="7400924" y="142875"/>
              <a:ext cx="2813595" cy="1019175"/>
            </a:xfrm>
            <a:prstGeom prst="rect">
              <a:avLst/>
            </a:prstGeom>
          </xdr:spPr>
        </xdr:pic>
        <xdr:clientData/>
      </xdr:twoCellAnchor>
    </mc:Choice>
    <mc:Fallback/>
  </mc:AlternateContent>
  <xdr:twoCellAnchor editAs="oneCell">
    <xdr:from>
      <xdr:col>10</xdr:col>
      <xdr:colOff>0</xdr:colOff>
      <xdr:row>88</xdr:row>
      <xdr:rowOff>0</xdr:rowOff>
    </xdr:from>
    <xdr:to>
      <xdr:col>10</xdr:col>
      <xdr:colOff>304800</xdr:colOff>
      <xdr:row>89</xdr:row>
      <xdr:rowOff>139147</xdr:rowOff>
    </xdr:to>
    <xdr:sp macro="" textlink="">
      <xdr:nvSpPr>
        <xdr:cNvPr id="34997" name="AutoShape 1205">
          <a:extLst>
            <a:ext uri="{FF2B5EF4-FFF2-40B4-BE49-F238E27FC236}">
              <a16:creationId xmlns="" xmlns:a16="http://schemas.microsoft.com/office/drawing/2014/main"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0</xdr:rowOff>
    </xdr:from>
    <xdr:to>
      <xdr:col>7</xdr:col>
      <xdr:colOff>558312</xdr:colOff>
      <xdr:row>0</xdr:row>
      <xdr:rowOff>175004</xdr:rowOff>
    </xdr:to>
    <xdr:sp macro="" textlink="">
      <xdr:nvSpPr>
        <xdr:cNvPr id="3" name="Seta: para a Esquerda 2">
          <a:hlinkClick xmlns:r="http://schemas.openxmlformats.org/officeDocument/2006/relationships" r:id="rId1"/>
          <a:extLst>
            <a:ext uri="{FF2B5EF4-FFF2-40B4-BE49-F238E27FC236}">
              <a16:creationId xmlns="" xmlns:a16="http://schemas.microsoft.com/office/drawing/2014/main"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0</xdr:row>
      <xdr:rowOff>97521</xdr:rowOff>
    </xdr:from>
    <xdr:to>
      <xdr:col>8</xdr:col>
      <xdr:colOff>581575</xdr:colOff>
      <xdr:row>1</xdr:row>
      <xdr:rowOff>151972</xdr:rowOff>
    </xdr:to>
    <xdr:sp macro="" textlink="">
      <xdr:nvSpPr>
        <xdr:cNvPr id="4" name="Retângulo: Cantos Arredondados 3">
          <a:hlinkClick xmlns:r="http://schemas.openxmlformats.org/officeDocument/2006/relationships" r:id="rId2"/>
          <a:extLst>
            <a:ext uri="{FF2B5EF4-FFF2-40B4-BE49-F238E27FC236}">
              <a16:creationId xmlns="" xmlns:a16="http://schemas.microsoft.com/office/drawing/2014/main"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1</xdr:row>
      <xdr:rowOff>40298</xdr:rowOff>
    </xdr:from>
    <xdr:to>
      <xdr:col>7</xdr:col>
      <xdr:colOff>563508</xdr:colOff>
      <xdr:row>2</xdr:row>
      <xdr:rowOff>23356</xdr:rowOff>
    </xdr:to>
    <xdr:sp macro="" textlink="">
      <xdr:nvSpPr>
        <xdr:cNvPr id="5" name="Seta: para a Esquerda 4">
          <a:hlinkClick xmlns:r="http://schemas.openxmlformats.org/officeDocument/2006/relationships" r:id="rId3"/>
          <a:extLst>
            <a:ext uri="{FF2B5EF4-FFF2-40B4-BE49-F238E27FC236}">
              <a16:creationId xmlns="" xmlns:a16="http://schemas.microsoft.com/office/drawing/2014/main"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800100</xdr:colOff>
          <xdr:row>0</xdr:row>
          <xdr:rowOff>57151</xdr:rowOff>
        </xdr:from>
        <xdr:to>
          <xdr:col>6</xdr:col>
          <xdr:colOff>952500</xdr:colOff>
          <xdr:row>4</xdr:row>
          <xdr:rowOff>64413</xdr:rowOff>
        </xdr:to>
        <xdr:pic>
          <xdr:nvPicPr>
            <xdr:cNvPr id="7" name="Imagem 6">
              <a:extLst>
                <a:ext uri="{FF2B5EF4-FFF2-40B4-BE49-F238E27FC236}">
                  <a16:creationId xmlns="" xmlns:a16="http://schemas.microsoft.com/office/drawing/2014/main" id="{00000000-0008-0000-0500-000007000000}"/>
                </a:ext>
              </a:extLst>
            </xdr:cNvPr>
            <xdr:cNvPicPr>
              <a:picLocks noChangeAspect="1"/>
              <a:extLst>
                <a:ext uri="{84589F7E-364E-4C9E-8A38-B11213B215E9}">
                  <a14:cameraTool cellRange="ImgEscudo" spid="_x0000_s36567"/>
                </a:ext>
              </a:extLst>
            </xdr:cNvPicPr>
          </xdr:nvPicPr>
          <xdr:blipFill>
            <a:blip xmlns:r="http://schemas.openxmlformats.org/officeDocument/2006/relationships" r:embed="rId4"/>
            <a:stretch>
              <a:fillRect/>
            </a:stretch>
          </xdr:blipFill>
          <xdr:spPr>
            <a:xfrm>
              <a:off x="9210675" y="257176"/>
              <a:ext cx="2228850" cy="807362"/>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 xmlns:a16="http://schemas.microsoft.com/office/drawing/2014/main"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 xmlns:a16="http://schemas.microsoft.com/office/drawing/2014/main"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824118</xdr:colOff>
          <xdr:row>6</xdr:row>
          <xdr:rowOff>2635</xdr:rowOff>
        </xdr:to>
        <xdr:pic>
          <xdr:nvPicPr>
            <xdr:cNvPr id="7" name="Imagem 6">
              <a:extLst>
                <a:ext uri="{FF2B5EF4-FFF2-40B4-BE49-F238E27FC236}">
                  <a16:creationId xmlns="" xmlns:a16="http://schemas.microsoft.com/office/drawing/2014/main" id="{00000000-0008-0000-0700-000007000000}"/>
                </a:ext>
              </a:extLst>
            </xdr:cNvPr>
            <xdr:cNvPicPr>
              <a:picLocks noChangeAspect="1"/>
              <a:extLst>
                <a:ext uri="{84589F7E-364E-4C9E-8A38-B11213B215E9}">
                  <a14:cameraTool cellRange="ImgEscudo" spid="_x0000_s20477"/>
                </a:ext>
              </a:extLst>
            </xdr:cNvPicPr>
          </xdr:nvPicPr>
          <xdr:blipFill>
            <a:blip xmlns:r="http://schemas.openxmlformats.org/officeDocument/2006/relationships" r:embed="rId3"/>
            <a:stretch>
              <a:fillRect/>
            </a:stretch>
          </xdr:blipFill>
          <xdr:spPr>
            <a:xfrm>
              <a:off x="4276725" y="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OR&#199;AMENTO/PLANILHA%20OR&#199;AMENT&#193;RIA/NAV-2021-JOS&#201;MARTINSFLORES-PLANILHA-R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sheetName val="Planilha3"/>
      <sheetName val="DADOS"/>
      <sheetName val="BDI"/>
      <sheetName val="PLANILHA"/>
      <sheetName val="PLANILHA RESUMO"/>
      <sheetName val="MEMÓRIA DE CÁLCULO"/>
      <sheetName val="COMPOSIÇÕES"/>
      <sheetName val="CRONOGRAMA"/>
      <sheetName val="COTAÇÕES"/>
      <sheetName val="ALVENARIA"/>
      <sheetName val="DEMOLIÇÕES"/>
      <sheetName val="AZULEJO E PISO E PEDRAS"/>
    </sheetNames>
    <sheetDataSet>
      <sheetData sheetId="0"/>
      <sheetData sheetId="1">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sheetData>
      <sheetData sheetId="2">
        <row r="7">
          <cell r="D7" t="str">
            <v>PREFEITURA MUNICIPAL DE NAVIRAÍ</v>
          </cell>
        </row>
      </sheetData>
      <sheetData sheetId="3"/>
      <sheetData sheetId="4">
        <row r="220">
          <cell r="A220" t="str">
            <v>NAVIRAÍ, 13 DE MAIO DE 2021</v>
          </cell>
        </row>
      </sheetData>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v>0</v>
          </cell>
          <cell r="D11">
            <v>0</v>
          </cell>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v>0</v>
          </cell>
          <cell r="D13">
            <v>0</v>
          </cell>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v>0</v>
          </cell>
          <cell r="D15">
            <v>0</v>
          </cell>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v>0</v>
          </cell>
          <cell r="D22">
            <v>0</v>
          </cell>
          <cell r="E22">
            <v>807.84</v>
          </cell>
        </row>
        <row r="23">
          <cell r="A23">
            <v>101000121</v>
          </cell>
          <cell r="B23" t="str">
            <v>SINAPI - 93584 - EXECUCAO DE DEPOSITO EM CANTEIRO DE OBRA EM CHAPA DE MADEIRA COMPENSADA, NAO INCLUSO MOBILIARIO. AF_04/2016 /M2</v>
          </cell>
          <cell r="C23">
            <v>0</v>
          </cell>
          <cell r="D23">
            <v>0</v>
          </cell>
          <cell r="E23">
            <v>632.09</v>
          </cell>
        </row>
        <row r="24">
          <cell r="A24">
            <v>101000122</v>
          </cell>
          <cell r="B24" t="str">
            <v>SINAPI - 99059 - LOCACAO CONVENCIONAL DE OBRA, UTILIZANDO GABARITO DE TABUAS CORRIDAS PONTALETADAS A CADA 2,00M -  2 UTILIZACOES. AF_10/2018 /M</v>
          </cell>
          <cell r="C24">
            <v>0</v>
          </cell>
          <cell r="D24">
            <v>0</v>
          </cell>
          <cell r="E24">
            <v>37.869999999999997</v>
          </cell>
        </row>
        <row r="25">
          <cell r="A25">
            <v>101000142</v>
          </cell>
          <cell r="B25" t="str">
            <v>SINAPI - 98458 - TAPUME COM COMPENSADO DE MADEIRA. AF_05/2018 /M2</v>
          </cell>
          <cell r="C25">
            <v>0</v>
          </cell>
          <cell r="D25">
            <v>0</v>
          </cell>
          <cell r="E25">
            <v>91.18</v>
          </cell>
        </row>
        <row r="26">
          <cell r="A26">
            <v>101000144</v>
          </cell>
          <cell r="B26" t="str">
            <v>SINAPI - 98459 - TAPUME COM TELHA METALICA. AF_05/2018 /M2</v>
          </cell>
          <cell r="C26">
            <v>0</v>
          </cell>
          <cell r="D26">
            <v>0</v>
          </cell>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v>0</v>
          </cell>
          <cell r="D28">
            <v>0</v>
          </cell>
          <cell r="E28">
            <v>80.02</v>
          </cell>
        </row>
        <row r="29">
          <cell r="A29">
            <v>101000152</v>
          </cell>
          <cell r="B29" t="str">
            <v>SINAPI - 101190 - CERCA COM MOUROES DE CONCRETO, RETO, H=3,00 M, ESPACAMENTO DE 2,5 M, CRAVADOS 0,5 M, COM 4 FIOS DE ARAME DE ACO OVALADO 15X17 - FORNECIMENTO E INSTALACAO. AF_05/2020 /M</v>
          </cell>
          <cell r="C29">
            <v>0</v>
          </cell>
          <cell r="D29">
            <v>0</v>
          </cell>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v>0</v>
          </cell>
          <cell r="D30">
            <v>0</v>
          </cell>
          <cell r="E30">
            <v>45.84</v>
          </cell>
        </row>
        <row r="31">
          <cell r="A31">
            <v>101000166</v>
          </cell>
          <cell r="B31" t="str">
            <v>SINAPI - 98525 - LIMPEZA MECANIZADA DE CAMADA VEGETAL, VEGETACAO E PEQUENAS ARVORES (DIAMETRO DE TRONCO MENOR QUE 0,20 M), COM TRATOR DE ESTEIRAS.AF_05/2018 /M2</v>
          </cell>
          <cell r="C31">
            <v>0</v>
          </cell>
          <cell r="D31">
            <v>0</v>
          </cell>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v>0</v>
          </cell>
          <cell r="D34">
            <v>0</v>
          </cell>
          <cell r="E34">
            <v>436.41</v>
          </cell>
        </row>
        <row r="35">
          <cell r="A35">
            <v>101000205</v>
          </cell>
          <cell r="B35" t="str">
            <v>SINAPI - 93212 - EXECUCAO DE SANITARIO E VESTIARIO EM CANTEIRO DE OBRA EM CHAPA DE MADEIRA COMPENSADA, NAO INCLUSO MOBILIARIO. AF_02/2016 /M2</v>
          </cell>
          <cell r="C35">
            <v>0</v>
          </cell>
          <cell r="D35">
            <v>0</v>
          </cell>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v>0</v>
          </cell>
          <cell r="D46">
            <v>0</v>
          </cell>
          <cell r="E46">
            <v>71.12</v>
          </cell>
        </row>
        <row r="47">
          <cell r="A47">
            <v>201002002</v>
          </cell>
          <cell r="B47" t="str">
            <v>SINAPI - 97622 - DEMOLICAO DE ALVENARIA DE BLOCO FURADO, DE FORMA MANUAL, SEM REAPROVEITAMENTO. AF_12/2017 /M3</v>
          </cell>
          <cell r="C47">
            <v>0</v>
          </cell>
          <cell r="D47">
            <v>0</v>
          </cell>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v>0</v>
          </cell>
          <cell r="D49">
            <v>0</v>
          </cell>
          <cell r="E49">
            <v>96.68</v>
          </cell>
        </row>
        <row r="50">
          <cell r="A50">
            <v>201002009</v>
          </cell>
          <cell r="B50" t="str">
            <v>SINAPI - 97627 - DEMOLICAO DE PILARES E VIGAS EM CONCRETO ARMADO, DE FORMA MECANIZADA COM MARTELETE, SEM REAPROVEITAMENTO. AF_12/2017 /M3</v>
          </cell>
          <cell r="C50">
            <v>0</v>
          </cell>
          <cell r="D50">
            <v>0</v>
          </cell>
          <cell r="E50">
            <v>215.89</v>
          </cell>
        </row>
        <row r="51">
          <cell r="A51">
            <v>201002010</v>
          </cell>
          <cell r="B51" t="str">
            <v>SINAPI - 97647 - REMOCAO DE TELHAS, DE FIBROCIMENTO, METALICA E CERAMICA, DE FORMA MANUAL, SEM REAPROVEITAMENTO. AF_12/2017 /M2</v>
          </cell>
          <cell r="C51">
            <v>0</v>
          </cell>
          <cell r="D51">
            <v>0</v>
          </cell>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v>0</v>
          </cell>
          <cell r="D54">
            <v>0</v>
          </cell>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v>0</v>
          </cell>
          <cell r="D56">
            <v>0</v>
          </cell>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v>0</v>
          </cell>
          <cell r="D58">
            <v>0</v>
          </cell>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v>0</v>
          </cell>
          <cell r="D61">
            <v>0</v>
          </cell>
          <cell r="E61">
            <v>3.45</v>
          </cell>
        </row>
        <row r="62">
          <cell r="A62">
            <v>201002040</v>
          </cell>
          <cell r="B62" t="str">
            <v>SINAPI - 97643 - REMOCAO DE PISO DE MADEIRA (ASSOALHO E BARROTE), DE FORMA MANUAL, SEM REAPROVEITAMENTO. AF_12/2017 /M2</v>
          </cell>
          <cell r="C62">
            <v>0</v>
          </cell>
          <cell r="D62">
            <v>0</v>
          </cell>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v>0</v>
          </cell>
          <cell r="D70">
            <v>0</v>
          </cell>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v>0</v>
          </cell>
          <cell r="D72">
            <v>0</v>
          </cell>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v>0</v>
          </cell>
          <cell r="D80">
            <v>0</v>
          </cell>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v>0</v>
          </cell>
          <cell r="D87">
            <v>0</v>
          </cell>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v>0</v>
          </cell>
          <cell r="D89">
            <v>0</v>
          </cell>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v>0</v>
          </cell>
          <cell r="D95">
            <v>0</v>
          </cell>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v>0</v>
          </cell>
          <cell r="D97">
            <v>0</v>
          </cell>
          <cell r="E97">
            <v>11.99</v>
          </cell>
        </row>
        <row r="98">
          <cell r="A98">
            <v>201002314</v>
          </cell>
          <cell r="B98" t="str">
            <v>SINAPI - 102191 - REMOCAO DE VIDRO LISO COMUM DE ESQUADRIA COM BAGUETE DE ALUMINIO OU PVC. AF_01/2021 /M2</v>
          </cell>
          <cell r="C98">
            <v>0</v>
          </cell>
          <cell r="D98">
            <v>0</v>
          </cell>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v>0</v>
          </cell>
          <cell r="D101">
            <v>0</v>
          </cell>
          <cell r="E101">
            <v>1.72</v>
          </cell>
        </row>
        <row r="102">
          <cell r="A102">
            <v>201002325</v>
          </cell>
          <cell r="B102" t="str">
            <v>SINAPI - 97661 - REMOCAO DE CABOS ELETRICOS, DE FORMA MANUAL, SEM REAPROVEITAMENTO. AF_12/2017 /M</v>
          </cell>
          <cell r="C102">
            <v>0</v>
          </cell>
          <cell r="D102">
            <v>0</v>
          </cell>
          <cell r="E102">
            <v>0.45</v>
          </cell>
        </row>
        <row r="103">
          <cell r="A103">
            <v>201002328</v>
          </cell>
          <cell r="B103" t="str">
            <v>SINAPI - 97660 - REMOCAO DE INTERRUPTORES/TOMADAS ELETRICAS, DE FORMA MANUAL, SEM REAPROVEITAMENTO. AF_12/2017 /UN</v>
          </cell>
          <cell r="C103">
            <v>0</v>
          </cell>
          <cell r="D103">
            <v>0</v>
          </cell>
          <cell r="E103">
            <v>0.45</v>
          </cell>
        </row>
        <row r="104">
          <cell r="A104">
            <v>201002331</v>
          </cell>
          <cell r="B104" t="str">
            <v>SINAPI - 97633 - DEMOLICAO DE REVESTIMENTO CERAMICO, DE FORMA MANUAL, SEM REAPROVEITAMENTO. AF_12/2017 /M2</v>
          </cell>
          <cell r="C104">
            <v>0</v>
          </cell>
          <cell r="D104">
            <v>0</v>
          </cell>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v>0</v>
          </cell>
          <cell r="D112">
            <v>0</v>
          </cell>
          <cell r="E112">
            <v>44.35</v>
          </cell>
        </row>
        <row r="113">
          <cell r="A113">
            <v>301000105</v>
          </cell>
          <cell r="B113" t="str">
            <v>SINAPI - 101174 - ESTACA BROCA DE CONCRETO, DIAMETRO DE 25CM, ESCAVACAO MANUAL COM TRADO CONCHA, COM ARMADURA DE ARRANQUE. AF_05/2020 /M</v>
          </cell>
          <cell r="C113">
            <v>0</v>
          </cell>
          <cell r="D113">
            <v>0</v>
          </cell>
          <cell r="E113">
            <v>60.49</v>
          </cell>
        </row>
        <row r="114">
          <cell r="A114">
            <v>301000107</v>
          </cell>
          <cell r="B114" t="str">
            <v>SINAPI - 101175 - ESTACA BROCA DE CONCRETO, DIAMETRO DE 30CM, ESCAVACAO MANUAL COM TRADO CONCHA, COM ARMADURA DE ARRANQUE. AF_05/2020 /M</v>
          </cell>
          <cell r="C114">
            <v>0</v>
          </cell>
          <cell r="D114">
            <v>0</v>
          </cell>
          <cell r="E114">
            <v>82.51</v>
          </cell>
        </row>
        <row r="115">
          <cell r="A115">
            <v>301000108</v>
          </cell>
          <cell r="B115" t="str">
            <v>SINAPI - 101176 - ESTACA BROCA DE CONCRETO, DIAMETRO DE 30CM, ESCAVACAO MANUAL COM TRADO CONCHA, INTEIRAMENTE ARMADA. AF_05/2020 /M</v>
          </cell>
          <cell r="C115">
            <v>0</v>
          </cell>
          <cell r="D115">
            <v>0</v>
          </cell>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v>0</v>
          </cell>
          <cell r="D121">
            <v>0</v>
          </cell>
          <cell r="E121">
            <v>492.3</v>
          </cell>
        </row>
        <row r="122">
          <cell r="A122">
            <v>301000122</v>
          </cell>
          <cell r="B122" t="str">
            <v>SINAPI - 73361 - CONCRETO CICLOPICO FCK=10MPA 30% PEDRA DE MAO INCLUSIVE LANCAMENTO /M3</v>
          </cell>
          <cell r="C122">
            <v>0</v>
          </cell>
          <cell r="D122">
            <v>0</v>
          </cell>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v>0</v>
          </cell>
          <cell r="D123">
            <v>0</v>
          </cell>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v>0</v>
          </cell>
          <cell r="D124">
            <v>0</v>
          </cell>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v>0</v>
          </cell>
          <cell r="D125">
            <v>0</v>
          </cell>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v>0</v>
          </cell>
          <cell r="D126">
            <v>0</v>
          </cell>
          <cell r="E126">
            <v>59.73</v>
          </cell>
        </row>
        <row r="127">
          <cell r="A127">
            <v>301000145</v>
          </cell>
          <cell r="B127" t="str">
            <v>SINAPI - 100900 - ESTACA ESCAVADA MECANICAMENTE, SEM FLUIDO ESTABILIZANTE, COM 60CM DE DIAMETRO, CONCRETO LANCADO POR BOMBA LANCA (EXCLUSIVE MOBILIZACAO E DESMOBILIZACAO). AF_01/2020 /M</v>
          </cell>
          <cell r="C127">
            <v>0</v>
          </cell>
          <cell r="D127">
            <v>0</v>
          </cell>
          <cell r="E127">
            <v>181.36</v>
          </cell>
        </row>
        <row r="129">
          <cell r="B129" t="str">
            <v>SERVICOS EM TERRA</v>
          </cell>
        </row>
        <row r="131">
          <cell r="A131" t="str">
            <v>CODIGO</v>
          </cell>
          <cell r="B131" t="str">
            <v>S E R V I C O S</v>
          </cell>
          <cell r="C131" t="str">
            <v>MATERIAL</v>
          </cell>
          <cell r="D131" t="str">
            <v>MAO OBRA</v>
          </cell>
          <cell r="E131" t="str">
            <v>TOTAL</v>
          </cell>
        </row>
        <row r="134">
          <cell r="A134">
            <v>0</v>
          </cell>
          <cell r="B134" t="str">
            <v>*  SERVICOS EM TERRA (MANUAL)</v>
          </cell>
          <cell r="C134">
            <v>0</v>
          </cell>
          <cell r="D134">
            <v>0</v>
          </cell>
          <cell r="E134">
            <v>0</v>
          </cell>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v>0</v>
          </cell>
          <cell r="D139">
            <v>0</v>
          </cell>
          <cell r="E139">
            <v>34.89</v>
          </cell>
        </row>
        <row r="140">
          <cell r="A140">
            <v>401001114</v>
          </cell>
          <cell r="B140" t="str">
            <v>SINAPI - 93382 - REATERRO MANUAL DE VALAS COM COMPACTACAO MECANIZADA. AF_04/2016 /M3</v>
          </cell>
          <cell r="C140">
            <v>0</v>
          </cell>
          <cell r="D140">
            <v>0</v>
          </cell>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v>0</v>
          </cell>
          <cell r="B146">
            <v>0</v>
          </cell>
          <cell r="C146">
            <v>0</v>
          </cell>
          <cell r="D146">
            <v>0</v>
          </cell>
          <cell r="E146">
            <v>0</v>
          </cell>
        </row>
        <row r="147">
          <cell r="A147">
            <v>0</v>
          </cell>
          <cell r="B147" t="str">
            <v>*  SERVICOS EM TERRA (MECANIZADO)</v>
          </cell>
          <cell r="C147">
            <v>0</v>
          </cell>
          <cell r="D147">
            <v>0</v>
          </cell>
          <cell r="E147">
            <v>0</v>
          </cell>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v>0</v>
          </cell>
          <cell r="D149">
            <v>0</v>
          </cell>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v>0</v>
          </cell>
          <cell r="D150">
            <v>0</v>
          </cell>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v>0</v>
          </cell>
          <cell r="D151">
            <v>0</v>
          </cell>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v>0</v>
          </cell>
          <cell r="D152">
            <v>0</v>
          </cell>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v>0</v>
          </cell>
          <cell r="D153">
            <v>0</v>
          </cell>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v>0</v>
          </cell>
          <cell r="D154">
            <v>0</v>
          </cell>
          <cell r="E154">
            <v>11.51</v>
          </cell>
        </row>
        <row r="155">
          <cell r="A155">
            <v>401002019</v>
          </cell>
          <cell r="B155" t="str">
            <v>SINAPI - 100574 - ESPALHAMENTO DE MATERIAL COM TRATOR DE ESTEIRAS. AF_11/2019 /M3</v>
          </cell>
          <cell r="C155">
            <v>0</v>
          </cell>
          <cell r="D155">
            <v>0</v>
          </cell>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v>0</v>
          </cell>
          <cell r="D158">
            <v>0</v>
          </cell>
          <cell r="E158">
            <v>5.25</v>
          </cell>
        </row>
        <row r="159">
          <cell r="A159">
            <v>401002024</v>
          </cell>
          <cell r="B159" t="str">
            <v>SINAPI - 97083 - COMPACTACAO MECANICA DE SOLO PARA EXECUCAO DE RADIER, COM COMPACTADOR DE SOLOS A PERCUSSAO. AF_09/2017 /M2</v>
          </cell>
          <cell r="C159">
            <v>0</v>
          </cell>
          <cell r="D159">
            <v>0</v>
          </cell>
          <cell r="E159">
            <v>2.2599999999999998</v>
          </cell>
        </row>
        <row r="160">
          <cell r="A160">
            <v>401002025</v>
          </cell>
          <cell r="B160" t="str">
            <v>SINAPI - 97084 - COMPACTACAO MECANICA DE SOLO PARA EXECUCAO DE RADIER, COM COMPACTADOR DE SOLOS TIPO PLACA VIBRATORIA. AF_09/2017 /M2</v>
          </cell>
          <cell r="C160">
            <v>0</v>
          </cell>
          <cell r="D160">
            <v>0</v>
          </cell>
          <cell r="E160">
            <v>0.46</v>
          </cell>
        </row>
        <row r="161">
          <cell r="A161">
            <v>401002040</v>
          </cell>
          <cell r="B161" t="str">
            <v>SINAPI - 97913 - TRANSPORTE COM CAMINHAO BASCULANTE DE 6 M3, EM VIA URBANA EM REVESTIMENTO PRIMARIO (UNIDADE: M3XKM). AF_07/2020 /M3XKM</v>
          </cell>
          <cell r="C161">
            <v>0</v>
          </cell>
          <cell r="D161">
            <v>0</v>
          </cell>
          <cell r="E161">
            <v>1.96</v>
          </cell>
        </row>
        <row r="162">
          <cell r="A162">
            <v>401002045</v>
          </cell>
          <cell r="B162" t="str">
            <v>SINAPI - 97914 - TRANSPORTE COM CAMINHAO BASCULANTE DE 6 M3, EM VIA URBANA PAVIMENTADA, DMT ATE 30 KM (UNIDADE: M3XKM). AF_07/2020 /M3XKM</v>
          </cell>
          <cell r="C162">
            <v>0</v>
          </cell>
          <cell r="D162">
            <v>0</v>
          </cell>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v>0</v>
          </cell>
          <cell r="D168">
            <v>0</v>
          </cell>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v>0</v>
          </cell>
          <cell r="D169">
            <v>0</v>
          </cell>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v>0</v>
          </cell>
          <cell r="D170">
            <v>0</v>
          </cell>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v>0</v>
          </cell>
          <cell r="D171">
            <v>0</v>
          </cell>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v>0</v>
          </cell>
          <cell r="D172">
            <v>0</v>
          </cell>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v>0</v>
          </cell>
          <cell r="D173">
            <v>0</v>
          </cell>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v>0</v>
          </cell>
          <cell r="D176">
            <v>0</v>
          </cell>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v>0</v>
          </cell>
          <cell r="D180">
            <v>0</v>
          </cell>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v>0</v>
          </cell>
          <cell r="B196" t="str">
            <v>*  FORMAS</v>
          </cell>
          <cell r="C196">
            <v>0</v>
          </cell>
          <cell r="D196">
            <v>0</v>
          </cell>
          <cell r="E196">
            <v>0</v>
          </cell>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v>0</v>
          </cell>
          <cell r="B206">
            <v>0</v>
          </cell>
          <cell r="C206">
            <v>0</v>
          </cell>
          <cell r="D206">
            <v>0</v>
          </cell>
          <cell r="E206">
            <v>0</v>
          </cell>
        </row>
        <row r="207">
          <cell r="A207">
            <v>0</v>
          </cell>
          <cell r="B207" t="str">
            <v>*  FERRAGEM</v>
          </cell>
          <cell r="C207">
            <v>0</v>
          </cell>
          <cell r="D207">
            <v>0</v>
          </cell>
          <cell r="E207">
            <v>0</v>
          </cell>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v>0</v>
          </cell>
          <cell r="B213">
            <v>0</v>
          </cell>
          <cell r="C213">
            <v>0</v>
          </cell>
          <cell r="D213">
            <v>0</v>
          </cell>
          <cell r="E213">
            <v>0</v>
          </cell>
        </row>
        <row r="214">
          <cell r="A214">
            <v>0</v>
          </cell>
          <cell r="B214" t="str">
            <v>*  CONCRETO</v>
          </cell>
          <cell r="C214">
            <v>0</v>
          </cell>
          <cell r="D214">
            <v>0</v>
          </cell>
          <cell r="E214">
            <v>0</v>
          </cell>
        </row>
        <row r="215">
          <cell r="A215">
            <v>601003000</v>
          </cell>
          <cell r="B215" t="str">
            <v>SINAPI - 96624 - LASTRO COM MATERIAL GRANULAR (PEDRA BRITADA N.2), APLICADO EM PISOS OU RADIERS, ESPESSURA DE *10 CM*. AF_08/2017 /M3</v>
          </cell>
          <cell r="C215">
            <v>0</v>
          </cell>
          <cell r="D215">
            <v>0</v>
          </cell>
          <cell r="E215">
            <v>88.57</v>
          </cell>
        </row>
        <row r="216">
          <cell r="A216">
            <v>601003004</v>
          </cell>
          <cell r="B216" t="str">
            <v>SINAPI - 94974 - CONCRETO MAGRO PARA LASTRO, TRACO 1:4,5:4,5 (CIMENTO/ AREIA MEDIA/ BRITA 1)  - PREPARO MANUAL. AF_07/2016 /M3</v>
          </cell>
          <cell r="C216">
            <v>0</v>
          </cell>
          <cell r="D216">
            <v>0</v>
          </cell>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v>0</v>
          </cell>
          <cell r="D219">
            <v>0</v>
          </cell>
          <cell r="E219">
            <v>282.92</v>
          </cell>
        </row>
        <row r="220">
          <cell r="A220">
            <v>601003019</v>
          </cell>
          <cell r="B220" t="str">
            <v>SINAPI - 94964 - CONCRETO FCK = 20MPA, TRACO 1:2,7:3 (CIMENTO/ AREIA MEDIA/ BRITA 1)  - PREPARO MECANICO COM BETONEIRA 400 L. AF_07/2016 /M3</v>
          </cell>
          <cell r="C220">
            <v>0</v>
          </cell>
          <cell r="D220">
            <v>0</v>
          </cell>
          <cell r="E220">
            <v>313.44</v>
          </cell>
        </row>
        <row r="221">
          <cell r="A221">
            <v>601003025</v>
          </cell>
          <cell r="B221" t="str">
            <v>SINAPI - 94965 - CONCRETO FCK = 25MPA, TRACO 1:2,3:2,7 (CIMENTO/ AREIA MEDIA/ BRITA 1)  - PREPARO MECANICO COM BETONEIRA 400 L. AF_07/2016 /M3</v>
          </cell>
          <cell r="C221">
            <v>0</v>
          </cell>
          <cell r="D221">
            <v>0</v>
          </cell>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v>0</v>
          </cell>
          <cell r="D256">
            <v>0</v>
          </cell>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v>0</v>
          </cell>
          <cell r="D259">
            <v>0</v>
          </cell>
          <cell r="E259">
            <v>32.950000000000003</v>
          </cell>
        </row>
        <row r="260">
          <cell r="A260">
            <v>701000107</v>
          </cell>
          <cell r="B260" t="str">
            <v>SINAPI - 98561 - IMPERMEABILIZACAO DE PAREDES COM ARGAMASSA DE CIMENTO E AREIA, COM ADITIVO IMPERMEABILIZANTE, E = 2CM. AF_06/2018 /M2</v>
          </cell>
          <cell r="C260">
            <v>0</v>
          </cell>
          <cell r="D260">
            <v>0</v>
          </cell>
          <cell r="E260">
            <v>29.99</v>
          </cell>
        </row>
        <row r="261">
          <cell r="A261">
            <v>701000108</v>
          </cell>
          <cell r="B261" t="str">
            <v>SINAPI - 98562 - IMPERMEABILIZACAO DE FLOREIRA OU VIGA BALDRAME COM ARGAMASSA DE CIMENTO E AREIA, COM ADITIVO IMPERMEABILIZANTE, E = 2 CM. AF_06/2018 /M2</v>
          </cell>
          <cell r="C261">
            <v>0</v>
          </cell>
          <cell r="D261">
            <v>0</v>
          </cell>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v>0</v>
          </cell>
          <cell r="D263">
            <v>0</v>
          </cell>
          <cell r="E263">
            <v>15.22</v>
          </cell>
        </row>
        <row r="264">
          <cell r="A264">
            <v>701000111</v>
          </cell>
          <cell r="B264" t="str">
            <v>SINAPI - 98556 - IMPERMEABILIZACAO DE SUPERFICIE COM ARGAMASSA POLIMERICA / MEMBRANA ACRILICA, 4 DEMAOS, REFORCADA COM VEU DE POLIESTER (MAV). AF_06/2018 /M2</v>
          </cell>
          <cell r="C264">
            <v>0</v>
          </cell>
          <cell r="D264">
            <v>0</v>
          </cell>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v>0</v>
          </cell>
          <cell r="D266">
            <v>0</v>
          </cell>
          <cell r="E266">
            <v>128.6</v>
          </cell>
        </row>
        <row r="267">
          <cell r="A267">
            <v>701000115</v>
          </cell>
          <cell r="B267" t="str">
            <v>SINAPI - 98546 - IMPERMEABILIZACAO DE SUPERFICIE COM MANTA ASFALTICA, UMA CAMADA, INCLUSIVE APLICACAO DE PRIMER ASFALTICO, E=3MM. AF_06/2018 /M2</v>
          </cell>
          <cell r="C267">
            <v>0</v>
          </cell>
          <cell r="D267">
            <v>0</v>
          </cell>
          <cell r="E267">
            <v>69.11</v>
          </cell>
        </row>
        <row r="268">
          <cell r="A268">
            <v>701000117</v>
          </cell>
          <cell r="B268" t="str">
            <v>SINAPI - 98554 - IMPERMEABILIZACAO DE SUPERFICIE COM MEMBRANA A BASE DE RESINA ACRILICA, 3 DEMAOS. AF_06/2018 /M2</v>
          </cell>
          <cell r="C268">
            <v>0</v>
          </cell>
          <cell r="D268">
            <v>0</v>
          </cell>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v>0</v>
          </cell>
          <cell r="D271">
            <v>0</v>
          </cell>
          <cell r="E271">
            <v>23.67</v>
          </cell>
        </row>
        <row r="272">
          <cell r="A272">
            <v>701000126</v>
          </cell>
          <cell r="B272" t="str">
            <v>SINAPI - 98567 - PROTECAO MECANICA DE SUPERFICIE HORIZONTAL COM ARGAMASSA DE CIMENTO E AREIA, TRACO 1:3, E=4CM. AF_06/2018 /M2</v>
          </cell>
          <cell r="C272">
            <v>0</v>
          </cell>
          <cell r="D272">
            <v>0</v>
          </cell>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v>0</v>
          </cell>
          <cell r="D279">
            <v>0</v>
          </cell>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v>0</v>
          </cell>
          <cell r="D285">
            <v>0</v>
          </cell>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v>0</v>
          </cell>
          <cell r="D290">
            <v>0</v>
          </cell>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v>0</v>
          </cell>
          <cell r="D297">
            <v>0</v>
          </cell>
          <cell r="E297">
            <v>19.34</v>
          </cell>
        </row>
        <row r="298">
          <cell r="A298">
            <v>801000134</v>
          </cell>
          <cell r="B298" t="str">
            <v>SINAPI - 93201 - FIXACAO (ENCUNHAMENTO) DE ALVENARIA DE VEDACAO COM ARGAMASSA APLICADA COM COLHER. AF_03/2016 /M</v>
          </cell>
          <cell r="C298">
            <v>0</v>
          </cell>
          <cell r="D298">
            <v>0</v>
          </cell>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v>0</v>
          </cell>
          <cell r="D300">
            <v>0</v>
          </cell>
          <cell r="E300">
            <v>33.799999999999997</v>
          </cell>
        </row>
        <row r="301">
          <cell r="A301">
            <v>801000160</v>
          </cell>
          <cell r="B301" t="str">
            <v>SINAPI - 93183 - VERGA PRE-MOLDADA PARA JANELAS COM MAIS DE 1,5 M DE VAO. AF_03/2016 /M</v>
          </cell>
          <cell r="C301">
            <v>0</v>
          </cell>
          <cell r="D301">
            <v>0</v>
          </cell>
          <cell r="E301">
            <v>43.52</v>
          </cell>
        </row>
        <row r="302">
          <cell r="A302">
            <v>801000165</v>
          </cell>
          <cell r="B302" t="str">
            <v>SINAPI - 93184 - VERGA PRE-MOLDADA PARA PORTAS COM ATE 1,5 M DE VAO. AF_03/2016 /M</v>
          </cell>
          <cell r="C302">
            <v>0</v>
          </cell>
          <cell r="D302">
            <v>0</v>
          </cell>
          <cell r="E302">
            <v>24.98</v>
          </cell>
        </row>
        <row r="303">
          <cell r="A303">
            <v>801000170</v>
          </cell>
          <cell r="B303" t="str">
            <v>SINAPI - 93185 - VERGA PRE-MOLDADA PARA PORTAS COM MAIS DE 1,5 M DE VAO. AF_03/2016 /M</v>
          </cell>
          <cell r="C303">
            <v>0</v>
          </cell>
          <cell r="D303">
            <v>0</v>
          </cell>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v>0</v>
          </cell>
          <cell r="D334">
            <v>0</v>
          </cell>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v>0</v>
          </cell>
          <cell r="D335">
            <v>0</v>
          </cell>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v>0</v>
          </cell>
          <cell r="D336">
            <v>0</v>
          </cell>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v>0</v>
          </cell>
          <cell r="D344">
            <v>0</v>
          </cell>
          <cell r="E344">
            <v>28.39</v>
          </cell>
        </row>
        <row r="345">
          <cell r="A345">
            <v>1001000101</v>
          </cell>
          <cell r="B345" t="str">
            <v>SINAPI - 94441 - TELHAMENTO COM TELHA CERAMICA DE ENCAIXE, TIPO FRANCESA, COM MAIS DE 2 AGUAS, INCLUSO TRANSPORTE VERTICAL. AF_07/2019 /M2</v>
          </cell>
          <cell r="C345">
            <v>0</v>
          </cell>
          <cell r="D345">
            <v>0</v>
          </cell>
          <cell r="E345">
            <v>30.76</v>
          </cell>
        </row>
        <row r="346">
          <cell r="A346">
            <v>1001000102</v>
          </cell>
          <cell r="B346" t="str">
            <v>SINAPI - 94442 - TELHAMENTO COM TELHA CERAMICA DE ENCAIXE, TIPO ROMANA, COM ATE 2 AGUAS, INCLUSO TRANSPORTE VERTICAL. AF_07/2019 /M2</v>
          </cell>
          <cell r="C346">
            <v>0</v>
          </cell>
          <cell r="D346">
            <v>0</v>
          </cell>
          <cell r="E346">
            <v>28.39</v>
          </cell>
        </row>
        <row r="347">
          <cell r="A347">
            <v>1001000103</v>
          </cell>
          <cell r="B347" t="str">
            <v>SINAPI - 94443 - TELHAMENTO COM TELHA CERAMICA DE ENCAIXE, TIPO ROMANA, COM MAIS DE 2 AGUAS, INCLUSO TRANSPORTE VERTICAL. AF_07/2019 /M2</v>
          </cell>
          <cell r="C347">
            <v>0</v>
          </cell>
          <cell r="D347">
            <v>0</v>
          </cell>
          <cell r="E347">
            <v>30.76</v>
          </cell>
        </row>
        <row r="348">
          <cell r="A348">
            <v>1001000112</v>
          </cell>
          <cell r="B348" t="str">
            <v>SINAPI - 94221 - CUMEEIRA PARA TELHA CERAMICA EMBOCADA COM ARGAMASSA TRACO 1:2:9 (CIMENTO, CAL E AREIA) PARA TELHADOS COM ATE 2 AGUAS, INCLUSO TRANSPORTE VERTICAL. AF_07/2019 /M</v>
          </cell>
          <cell r="C348">
            <v>0</v>
          </cell>
          <cell r="D348">
            <v>0</v>
          </cell>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v>0</v>
          </cell>
          <cell r="D349">
            <v>0</v>
          </cell>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v>0</v>
          </cell>
          <cell r="D350">
            <v>0</v>
          </cell>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v>0</v>
          </cell>
          <cell r="D353">
            <v>0</v>
          </cell>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v>0</v>
          </cell>
          <cell r="D356">
            <v>0</v>
          </cell>
          <cell r="E356">
            <v>42.73</v>
          </cell>
        </row>
        <row r="357">
          <cell r="A357">
            <v>1001000150</v>
          </cell>
          <cell r="B357" t="str">
            <v>SINAPI - 94451 - CUMEEIRA PARA TELHA DE FIBROCIMENTO ESTRUTURAL E = 6 MM, INCLUSO ACESSORIOS DE FIXACAO E ICAMENTO. AF_07/2019 /M</v>
          </cell>
          <cell r="C357">
            <v>0</v>
          </cell>
          <cell r="D357">
            <v>0</v>
          </cell>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v>0</v>
          </cell>
          <cell r="D359">
            <v>0</v>
          </cell>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v>0</v>
          </cell>
          <cell r="D364">
            <v>0</v>
          </cell>
          <cell r="E364">
            <v>52.04</v>
          </cell>
        </row>
        <row r="365">
          <cell r="A365">
            <v>1001000191</v>
          </cell>
          <cell r="B365" t="str">
            <v>SINAPI - 94228 - CALHA EM CHAPA DE ACO GALVANIZADO NUMERO 24, DESENVOLVIMENTO DE 50 CM, INCLUSO TRANSPORTE VERTICAL. AF_07/2019 /M</v>
          </cell>
          <cell r="C365">
            <v>0</v>
          </cell>
          <cell r="D365">
            <v>0</v>
          </cell>
          <cell r="E365">
            <v>70.05</v>
          </cell>
        </row>
        <row r="366">
          <cell r="A366">
            <v>1001000192</v>
          </cell>
          <cell r="B366" t="str">
            <v>SINAPI - 94231 - RUFO EM CHAPA DE ACO GALVANIZADO NUMERO 24, CORTE DE 25 CM, INCLUSO TRANSPORTE VERTICAL. AF_07/2019 /M</v>
          </cell>
          <cell r="C366">
            <v>0</v>
          </cell>
          <cell r="D366">
            <v>0</v>
          </cell>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v>0</v>
          </cell>
          <cell r="D380">
            <v>0</v>
          </cell>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v>0</v>
          </cell>
          <cell r="D381">
            <v>0</v>
          </cell>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v>0</v>
          </cell>
          <cell r="D382">
            <v>0</v>
          </cell>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v>0</v>
          </cell>
          <cell r="D383">
            <v>0</v>
          </cell>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v>0</v>
          </cell>
          <cell r="D384">
            <v>0</v>
          </cell>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v>0</v>
          </cell>
          <cell r="D385">
            <v>0</v>
          </cell>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v>0</v>
          </cell>
          <cell r="D386">
            <v>0</v>
          </cell>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v>0</v>
          </cell>
          <cell r="D387">
            <v>0</v>
          </cell>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v>0</v>
          </cell>
          <cell r="D389">
            <v>0</v>
          </cell>
          <cell r="E389">
            <v>209.27</v>
          </cell>
        </row>
        <row r="390">
          <cell r="A390">
            <v>1101001016</v>
          </cell>
          <cell r="B390" t="str">
            <v>SINAPI - 91010 - PORTA DE MADEIRA PARA VERNIZ, SEMI-OCA (LEVE OU MEDIA), 70X210CM, ESPESSURA DE 3,5CM, INCLUSO DOBRADICAS - FORNECIMENTO E INSTALACAO. AF_12/2019 /UN</v>
          </cell>
          <cell r="C390">
            <v>0</v>
          </cell>
          <cell r="D390">
            <v>0</v>
          </cell>
          <cell r="E390">
            <v>214.26</v>
          </cell>
        </row>
        <row r="391">
          <cell r="A391">
            <v>1101001017</v>
          </cell>
          <cell r="B391" t="str">
            <v>SINAPI - 91011 - PORTA DE MADEIRA PARA VERNIZ, SEMI-OCA (LEVE OU MEDIA), 80X210CM, ESPESSURA DE 3,5CM, INCLUSO DOBRADICAS - FORNECIMENTO E INSTALACAO. AF_12/2019 /UN</v>
          </cell>
          <cell r="C391">
            <v>0</v>
          </cell>
          <cell r="D391">
            <v>0</v>
          </cell>
          <cell r="E391">
            <v>252.26</v>
          </cell>
        </row>
        <row r="392">
          <cell r="A392">
            <v>1101001018</v>
          </cell>
          <cell r="B392" t="str">
            <v>SINAPI - 91012 - PORTA DE MADEIRA PARA VERNIZ, SEMI-OCA (LEVE OU MEDIA), 90X210CM, ESPESSURA DE 3,5CM, INCLUSO DOBRADICAS - FORNECIMENTO E INSTALACAO. AF_12/2019 /UN</v>
          </cell>
          <cell r="C392">
            <v>0</v>
          </cell>
          <cell r="D392">
            <v>0</v>
          </cell>
          <cell r="E392">
            <v>281.5</v>
          </cell>
        </row>
        <row r="393">
          <cell r="A393">
            <v>1101001022</v>
          </cell>
          <cell r="B393" t="str">
            <v>SINAPI - 90801 - BATENTE PARA PORTA DE MADEIRA, PADRAO MEDIO - FORNECIMENTO E MONTAGEM. AF_12/2019 /UN</v>
          </cell>
          <cell r="C393">
            <v>0</v>
          </cell>
          <cell r="D393">
            <v>0</v>
          </cell>
          <cell r="E393">
            <v>176.77</v>
          </cell>
        </row>
        <row r="394">
          <cell r="A394">
            <v>1101001023</v>
          </cell>
          <cell r="B394" t="str">
            <v>SINAPI - 90806 - BATENTE PARA PORTA DE MADEIRA, FIXACAO COM ARGAMASSA, PADRAO MEDIO - FORNECIMENTO E INSTALACAO. AF_12/2019_P /UN</v>
          </cell>
          <cell r="C394">
            <v>0</v>
          </cell>
          <cell r="D394">
            <v>0</v>
          </cell>
          <cell r="E394">
            <v>239.43</v>
          </cell>
        </row>
        <row r="395">
          <cell r="A395">
            <v>1101001024</v>
          </cell>
          <cell r="B395" t="str">
            <v>SINAPI - 100659 - ALIZAR DE 5X1,5CM PARA PORTA FIXADO COM PREGOS, PADRAO MEDIO - FORNECIMENTO E INSTALACAO. AF_12/2019 /M</v>
          </cell>
          <cell r="C395">
            <v>0</v>
          </cell>
          <cell r="D395">
            <v>0</v>
          </cell>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v>0</v>
          </cell>
          <cell r="D400">
            <v>0</v>
          </cell>
          <cell r="E400">
            <v>523.59</v>
          </cell>
        </row>
        <row r="401">
          <cell r="A401">
            <v>0</v>
          </cell>
          <cell r="B401">
            <v>0</v>
          </cell>
          <cell r="C401">
            <v>0</v>
          </cell>
          <cell r="D401">
            <v>0</v>
          </cell>
          <cell r="E401">
            <v>0</v>
          </cell>
        </row>
        <row r="402">
          <cell r="A402">
            <v>0</v>
          </cell>
          <cell r="B402" t="str">
            <v>*  DE FERRO</v>
          </cell>
          <cell r="C402">
            <v>0</v>
          </cell>
          <cell r="D402">
            <v>0</v>
          </cell>
          <cell r="E402">
            <v>0</v>
          </cell>
        </row>
        <row r="403">
          <cell r="A403">
            <v>1101002000</v>
          </cell>
          <cell r="B403" t="str">
            <v>SINAPI - 94559 - JANELA DE ACO TIPO BASCULANTE PARA VIDROS, COM BATENTE, FERRAGENS E PINTURA ANTICORROSIVA. EXCLUSIVE VIDROS, ACABAMENTO, ALIZAR E CONTRAMARCO. FORNECIMENTO E INSTALACAO. AF_12/2019 /M2</v>
          </cell>
          <cell r="C403">
            <v>0</v>
          </cell>
          <cell r="D403">
            <v>0</v>
          </cell>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v>0</v>
          </cell>
          <cell r="D404">
            <v>0</v>
          </cell>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v>0</v>
          </cell>
          <cell r="D405">
            <v>0</v>
          </cell>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v>0</v>
          </cell>
          <cell r="D415">
            <v>0</v>
          </cell>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v>0</v>
          </cell>
          <cell r="B435">
            <v>0</v>
          </cell>
          <cell r="C435">
            <v>0</v>
          </cell>
          <cell r="D435">
            <v>0</v>
          </cell>
          <cell r="E435">
            <v>0</v>
          </cell>
        </row>
        <row r="436">
          <cell r="A436">
            <v>0</v>
          </cell>
          <cell r="B436" t="str">
            <v>*  FERRAGENS</v>
          </cell>
          <cell r="C436">
            <v>0</v>
          </cell>
          <cell r="D436">
            <v>0</v>
          </cell>
          <cell r="E436">
            <v>0</v>
          </cell>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v>0</v>
          </cell>
          <cell r="D438">
            <v>0</v>
          </cell>
          <cell r="E438">
            <v>105.24</v>
          </cell>
        </row>
        <row r="439">
          <cell r="A439">
            <v>1101003017</v>
          </cell>
          <cell r="B439" t="str">
            <v>SINAPI - 91304 - FECHADURA DE EMBUTIR COM CILINDRO, EXTERNA, COMPLETA, ACABAMENTO PADRAO POPULAR, INCLUSO EXECUCAO DE FURO - FORNECIMENTO E INSTALACAO. AF_12/2019 /UN</v>
          </cell>
          <cell r="C439">
            <v>0</v>
          </cell>
          <cell r="D439">
            <v>0</v>
          </cell>
          <cell r="E439">
            <v>66.099999999999994</v>
          </cell>
        </row>
        <row r="440">
          <cell r="A440">
            <v>1101003018</v>
          </cell>
          <cell r="B440" t="str">
            <v>SINAPI - 91306 - FECHADURA DE EMBUTIR PARA PORTAS INTERNAS, COMPLETA, ACABAMENTO PADRAO MEDIO, COM EXECUCAO DE FURO - FORNECIMENTO E INSTALACAO. AF_12/2019 /UN</v>
          </cell>
          <cell r="C440">
            <v>0</v>
          </cell>
          <cell r="D440">
            <v>0</v>
          </cell>
          <cell r="E440">
            <v>91.7</v>
          </cell>
        </row>
        <row r="441">
          <cell r="A441">
            <v>1101003019</v>
          </cell>
          <cell r="B441" t="str">
            <v>SINAPI - 91305 - FECHADURA DE EMBUTIR PARA PORTA DE BANHEIRO, COMPLETA, ACABAMENTO PADRAO POPULAR, INCLUSO EXECUCAO DE FURO - FORNECIMENTO E INSTALACAO. AF_12/2019 /UN</v>
          </cell>
          <cell r="C441">
            <v>0</v>
          </cell>
          <cell r="D441">
            <v>0</v>
          </cell>
          <cell r="E441">
            <v>64.77</v>
          </cell>
        </row>
        <row r="442">
          <cell r="A442">
            <v>1101003020</v>
          </cell>
          <cell r="B442" t="str">
            <v>SINAPI - 91307 - FECHADURA DE EMBUTIR PARA PORTAS INTERNAS, COMPLETA, ACABAMENTO PADRAO POPULAR, COM EXECUCAO DE FURO - FORNECIMENTO E INSTALACAO. AF_12/2019 /UN</v>
          </cell>
          <cell r="C442">
            <v>0</v>
          </cell>
          <cell r="D442">
            <v>0</v>
          </cell>
          <cell r="E442">
            <v>55.69</v>
          </cell>
        </row>
        <row r="443">
          <cell r="A443">
            <v>1101003021</v>
          </cell>
          <cell r="B443" t="str">
            <v>SINAPI - 90831 - FECHADURA DE EMBUTIR PARA PORTA DE BANHEIRO, COMPLETA, ACABAMENTO PADRAO MEDIO, INCLUSO EXECUCAO DE FURO - FORNECIMENTO E INSTALACAO. AF_12/2019 /UN</v>
          </cell>
          <cell r="C443">
            <v>0</v>
          </cell>
          <cell r="D443">
            <v>0</v>
          </cell>
          <cell r="E443">
            <v>91.7</v>
          </cell>
        </row>
        <row r="444">
          <cell r="A444">
            <v>1101003022</v>
          </cell>
          <cell r="B444" t="str">
            <v>SINAPI - 100709 - DOBRADICA EM ACO/FERRO, 3" X 21/2", E=1,9 A 2MM, SEN ANEL, CROMADO OU ZINCADO, TAMPA BOLA, COM PARAFUSOS. AF_12/2019 /UN</v>
          </cell>
          <cell r="C444">
            <v>0</v>
          </cell>
          <cell r="D444">
            <v>0</v>
          </cell>
          <cell r="E444">
            <v>30.1</v>
          </cell>
        </row>
        <row r="445">
          <cell r="A445">
            <v>1101003030</v>
          </cell>
          <cell r="B445" t="str">
            <v>SINAPI - 100705 - TARJETA TIPO LIVRE/OCUPADO PARA PORTA DE BANHEIRO. AF_12/2019 /UN</v>
          </cell>
          <cell r="C445">
            <v>0</v>
          </cell>
          <cell r="D445">
            <v>0</v>
          </cell>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v>0</v>
          </cell>
          <cell r="B449">
            <v>0</v>
          </cell>
          <cell r="C449">
            <v>0</v>
          </cell>
          <cell r="D449">
            <v>0</v>
          </cell>
          <cell r="E449">
            <v>0</v>
          </cell>
        </row>
        <row r="450">
          <cell r="A450">
            <v>0</v>
          </cell>
          <cell r="B450" t="str">
            <v>*  ALUMINIO E INOX</v>
          </cell>
          <cell r="C450">
            <v>0</v>
          </cell>
          <cell r="D450">
            <v>0</v>
          </cell>
          <cell r="E450">
            <v>0</v>
          </cell>
        </row>
        <row r="451">
          <cell r="A451">
            <v>1101004010</v>
          </cell>
          <cell r="B451" t="str">
            <v>SINAPI - 91341 - PORTA EM ALUMINIO DE ABRIR TIPO VENEZIANA COM GUARNICAO, FIXACAO COM PARAFUSOS - FORNECIMENTO E INSTALACAO. AF_12/2019 /M2</v>
          </cell>
          <cell r="C451">
            <v>0</v>
          </cell>
          <cell r="D451">
            <v>0</v>
          </cell>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v>0</v>
          </cell>
          <cell r="B458" t="str">
            <v>*  LUMINARIAS E ACESSORIOS</v>
          </cell>
          <cell r="C458">
            <v>0</v>
          </cell>
          <cell r="D458">
            <v>0</v>
          </cell>
          <cell r="E458">
            <v>0</v>
          </cell>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v>0</v>
          </cell>
          <cell r="D461">
            <v>0</v>
          </cell>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v>0</v>
          </cell>
          <cell r="D467">
            <v>0</v>
          </cell>
          <cell r="E467">
            <v>71.88</v>
          </cell>
        </row>
        <row r="468">
          <cell r="A468">
            <v>1201001116</v>
          </cell>
          <cell r="B468" t="str">
            <v>SINAPI - 97586 - LUMINARIA TIPO CALHA, DE SOBREPOR, COM 2 LAMPADAS TUBULARES FLUORESCENTES DE 36 W, COM REATOR DE PARTIDA RAPIDA - FORNECIMENTO E INSTALACAO. AF_02/2020 /UN</v>
          </cell>
          <cell r="C468">
            <v>0</v>
          </cell>
          <cell r="D468">
            <v>0</v>
          </cell>
          <cell r="E468">
            <v>97.17</v>
          </cell>
        </row>
        <row r="469">
          <cell r="A469">
            <v>1201001120</v>
          </cell>
          <cell r="B469" t="str">
            <v>SINAPI - 97599 - LUMINARIA DE EMERGENCIA, COM 30 LAMPADAS LED DE 2 W, SEM REATOR - FORNECIMENTO E INSTALACAO. AF_02/2020 /UN</v>
          </cell>
          <cell r="C469">
            <v>0</v>
          </cell>
          <cell r="D469">
            <v>0</v>
          </cell>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v>0</v>
          </cell>
          <cell r="D471">
            <v>0</v>
          </cell>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v>0</v>
          </cell>
          <cell r="D478">
            <v>0</v>
          </cell>
          <cell r="E478">
            <v>2321.27</v>
          </cell>
        </row>
        <row r="479">
          <cell r="A479">
            <v>1201001159</v>
          </cell>
          <cell r="B479" t="str">
            <v>SINAPI - 100621 - POSTE DE ACO CONICO CONTINUO CURVO DUPLO, FLANGEADO, H=9M, INCLUSIVE LUMINARIAS, SEM LAMPADAS - FORNECIMENTO E INSTALACAO. AF_11/2019 /UN</v>
          </cell>
          <cell r="C479">
            <v>0</v>
          </cell>
          <cell r="D479">
            <v>0</v>
          </cell>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v>0</v>
          </cell>
          <cell r="D481">
            <v>0</v>
          </cell>
          <cell r="E481">
            <v>17.48</v>
          </cell>
        </row>
        <row r="482">
          <cell r="A482">
            <v>1201001163</v>
          </cell>
          <cell r="B482" t="str">
            <v>SINAPI - 97611 - LAMPADA COMPACTA FLUORESCENTE DE 15 W, BASE E27 - FORNECIMENTO E INSTALACAO. AF_02/2020 /UN</v>
          </cell>
          <cell r="C482">
            <v>0</v>
          </cell>
          <cell r="D482">
            <v>0</v>
          </cell>
          <cell r="E482">
            <v>15.34</v>
          </cell>
        </row>
        <row r="483">
          <cell r="A483">
            <v>1201001165</v>
          </cell>
          <cell r="B483" t="str">
            <v>SINAPI - 97612 - LAMPADA COMPACTA FLUORESCENTE DE 20 W, BASE E27 - FORNECIMENTO E INSTALACAO. AF_02/2020 /UN</v>
          </cell>
          <cell r="C483">
            <v>0</v>
          </cell>
          <cell r="D483">
            <v>0</v>
          </cell>
          <cell r="E483">
            <v>16.52</v>
          </cell>
        </row>
        <row r="484">
          <cell r="A484">
            <v>1201001166</v>
          </cell>
          <cell r="B484" t="str">
            <v>SINAPI - 97615 - LAMPADA TUBULAR FLUORESCENTE T8 DE 16/18 W, BASE G13 - FORNECIMENTO E INSTALACAO. AF_02/2020_P /UN</v>
          </cell>
          <cell r="C484">
            <v>0</v>
          </cell>
          <cell r="D484">
            <v>0</v>
          </cell>
          <cell r="E484">
            <v>34.9</v>
          </cell>
        </row>
        <row r="485">
          <cell r="A485">
            <v>1201001167</v>
          </cell>
          <cell r="B485" t="str">
            <v>SINAPI - 97617 - LAMPADA TUBULAR FLUORESCENTE T10 DE 20/40 W, BASE G13 - FORNECIMENTO E INSTALACAO. AF_02/2020_P /UN</v>
          </cell>
          <cell r="C485">
            <v>0</v>
          </cell>
          <cell r="D485">
            <v>0</v>
          </cell>
          <cell r="E485">
            <v>39.53</v>
          </cell>
        </row>
        <row r="486">
          <cell r="A486">
            <v>1201001170</v>
          </cell>
          <cell r="B486" t="str">
            <v>SINAPI - 97616 - LAMPADA TUBULAR FLUORESCENTE T8 DE 32/36 W, BASE G13 - FORNECIMENTO E INSTALACAO. AF_02/2020_P /UN</v>
          </cell>
          <cell r="C486">
            <v>0</v>
          </cell>
          <cell r="D486">
            <v>0</v>
          </cell>
          <cell r="E486">
            <v>39.72</v>
          </cell>
        </row>
        <row r="487">
          <cell r="A487">
            <v>1201001171</v>
          </cell>
          <cell r="B487" t="str">
            <v>SINAPI - 101645 - LAMPADA MISTA 160 W - FORNECIMENTO E INSTALACAO. AF_08/2020 /UN</v>
          </cell>
          <cell r="C487">
            <v>0</v>
          </cell>
          <cell r="D487">
            <v>0</v>
          </cell>
          <cell r="E487">
            <v>16.059999999999999</v>
          </cell>
        </row>
        <row r="488">
          <cell r="A488">
            <v>1201001173</v>
          </cell>
          <cell r="B488" t="str">
            <v>SINAPI - 101646 - LAMPADA MISTA 250 W - FORNECIMENTO E INSTALACAO. AF_08/2020 /UN</v>
          </cell>
          <cell r="C488">
            <v>0</v>
          </cell>
          <cell r="D488">
            <v>0</v>
          </cell>
          <cell r="E488">
            <v>21.26</v>
          </cell>
        </row>
        <row r="489">
          <cell r="A489">
            <v>1201001175</v>
          </cell>
          <cell r="B489" t="str">
            <v>SINAPI - 101647 - LAMPADA MISTA 500 W - FORNECIMENTO E INSTALACAO. AF_08/2020 /UN</v>
          </cell>
          <cell r="C489">
            <v>0</v>
          </cell>
          <cell r="D489">
            <v>0</v>
          </cell>
          <cell r="E489">
            <v>38.89</v>
          </cell>
        </row>
        <row r="490">
          <cell r="A490">
            <v>1201001176</v>
          </cell>
          <cell r="B490" t="str">
            <v>SINAPI - 97614 - LAMPADA COMPACTA DE VAPOR METALICO OVOIDE 150 W, BASE E27 - FORNECIMENTO E INSTALACAO. AF_02/2020 /UN</v>
          </cell>
          <cell r="C490">
            <v>0</v>
          </cell>
          <cell r="D490">
            <v>0</v>
          </cell>
          <cell r="E490">
            <v>34.590000000000003</v>
          </cell>
        </row>
        <row r="491">
          <cell r="A491">
            <v>1201001177</v>
          </cell>
          <cell r="B491" t="str">
            <v>SINAPI - 101643 - LAMPADA VAPOR DE MERCÚRIO 250 W - FORNECIMENTO E INSTALACAO. AF_08/2020 /UN</v>
          </cell>
          <cell r="C491">
            <v>0</v>
          </cell>
          <cell r="D491">
            <v>0</v>
          </cell>
          <cell r="E491">
            <v>24.96</v>
          </cell>
        </row>
        <row r="492">
          <cell r="A492">
            <v>1201001178</v>
          </cell>
          <cell r="B492" t="str">
            <v>SINAPI - 101649 - LAMPADA VAPOR DE SODIO 250 W - FORNECIMENTO E INSTALACAO. AF_08/2020 /UN</v>
          </cell>
          <cell r="C492">
            <v>0</v>
          </cell>
          <cell r="D492">
            <v>0</v>
          </cell>
          <cell r="E492">
            <v>34.68</v>
          </cell>
        </row>
        <row r="493">
          <cell r="A493">
            <v>1201001179</v>
          </cell>
          <cell r="B493" t="str">
            <v>SINAPI - 101644 - LAMPADA VAPOR DE MERCÚRIO 400 W - FORNECIMENTO E INSTALACAO. AF_08/2020 /UN</v>
          </cell>
          <cell r="C493">
            <v>0</v>
          </cell>
          <cell r="D493">
            <v>0</v>
          </cell>
          <cell r="E493">
            <v>33.71</v>
          </cell>
        </row>
        <row r="494">
          <cell r="A494">
            <v>1201001181</v>
          </cell>
          <cell r="B494" t="str">
            <v>SINAPI - 101650 - LAMPADA VAPOR DE SODIO 400 W - FORNECIMENTO E INSTALACAO. AF_08/2020 /UN</v>
          </cell>
          <cell r="C494">
            <v>0</v>
          </cell>
          <cell r="D494">
            <v>0</v>
          </cell>
          <cell r="E494">
            <v>40.28</v>
          </cell>
        </row>
        <row r="495">
          <cell r="A495">
            <v>1201001182</v>
          </cell>
          <cell r="B495" t="str">
            <v>SINAPI - 101640 - LAMPADA VAPOR METALICO 400 W - FORNECIMENTO E INSTALACAO. AF_08/2020 /UN</v>
          </cell>
          <cell r="C495">
            <v>0</v>
          </cell>
          <cell r="D495">
            <v>0</v>
          </cell>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v>0</v>
          </cell>
          <cell r="D498">
            <v>0</v>
          </cell>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v>0</v>
          </cell>
          <cell r="D502">
            <v>0</v>
          </cell>
          <cell r="E502">
            <v>104.25</v>
          </cell>
        </row>
        <row r="503">
          <cell r="A503">
            <v>1201001198</v>
          </cell>
          <cell r="B503" t="str">
            <v>SINAPI - 101627 - REATOR PARA LAMPADA VAPOR DE SODIO 250 W, USO EXTERNO - FORNECIMENTO E INSTALACAO. AF_08/2020 /UN</v>
          </cell>
          <cell r="C503">
            <v>0</v>
          </cell>
          <cell r="D503">
            <v>0</v>
          </cell>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v>0</v>
          </cell>
          <cell r="B505">
            <v>0</v>
          </cell>
          <cell r="C505">
            <v>0</v>
          </cell>
          <cell r="D505">
            <v>0</v>
          </cell>
          <cell r="E505">
            <v>0</v>
          </cell>
        </row>
        <row r="506">
          <cell r="A506">
            <v>0</v>
          </cell>
          <cell r="B506" t="str">
            <v>*  INTERRUPTORES E TOMADAS</v>
          </cell>
          <cell r="C506">
            <v>0</v>
          </cell>
          <cell r="D506">
            <v>0</v>
          </cell>
          <cell r="E506">
            <v>0</v>
          </cell>
        </row>
        <row r="507">
          <cell r="A507">
            <v>1201002000</v>
          </cell>
          <cell r="B507" t="str">
            <v>SINAPI - 91953 - INTERRUPTOR SIMPLES (1 MODULO), 10A/250V, INCLUINDO SUPORTE E PLACA - FORNECIMENTO E INSTALACAO. AF_12/2015 /UN</v>
          </cell>
          <cell r="C507">
            <v>0</v>
          </cell>
          <cell r="D507">
            <v>0</v>
          </cell>
          <cell r="E507">
            <v>21.27</v>
          </cell>
        </row>
        <row r="508">
          <cell r="A508">
            <v>1201002002</v>
          </cell>
          <cell r="B508" t="str">
            <v>SINAPI - 91959 - INTERRUPTOR SIMPLES (2 MODULOS), 10A/250V, INCLUINDO SUPORTE E PLACA - FORNECIMENTO E INSTALACAO. AF_12/2015 /UN</v>
          </cell>
          <cell r="C508">
            <v>0</v>
          </cell>
          <cell r="D508">
            <v>0</v>
          </cell>
          <cell r="E508">
            <v>33.729999999999997</v>
          </cell>
        </row>
        <row r="509">
          <cell r="A509">
            <v>1201002004</v>
          </cell>
          <cell r="B509" t="str">
            <v>SINAPI - 91967 - INTERRUPTOR SIMPLES (3 MODULOS), 10A/250V, INCLUINDO SUPORTE E PLACA - FORNECIMENTO E INSTALACAO. AF_12/2015 /UN</v>
          </cell>
          <cell r="C509">
            <v>0</v>
          </cell>
          <cell r="D509">
            <v>0</v>
          </cell>
          <cell r="E509">
            <v>46.2</v>
          </cell>
        </row>
        <row r="510">
          <cell r="A510">
            <v>1201002006</v>
          </cell>
          <cell r="B510" t="str">
            <v>SINAPI - 91954 - INTERRUPTOR PARALELO (1 MODULO), 10A/250V, SEM SUPORTE E SEM PLACA - FORNECIMENTO E INSTALACAO. AF_12/2015 /UN</v>
          </cell>
          <cell r="C510">
            <v>0</v>
          </cell>
          <cell r="D510">
            <v>0</v>
          </cell>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v>0</v>
          </cell>
          <cell r="D512">
            <v>0</v>
          </cell>
          <cell r="E512">
            <v>38.64</v>
          </cell>
        </row>
        <row r="513">
          <cell r="A513">
            <v>1201002014</v>
          </cell>
          <cell r="B513" t="str">
            <v>SINAPI - 91961 - INTERRUPTOR PARALELO (2 MODULOS), 10A/250V, INCLUINDO SUPORTE E PLACA - FORNECIMENTO E INSTALACAO. AF_12/2015 /UN</v>
          </cell>
          <cell r="C513">
            <v>0</v>
          </cell>
          <cell r="D513">
            <v>0</v>
          </cell>
          <cell r="E513">
            <v>43.59</v>
          </cell>
        </row>
        <row r="514">
          <cell r="A514">
            <v>1201002016</v>
          </cell>
          <cell r="B514" t="str">
            <v>SINAPI - 91965 - INTERRUPTOR SIMPLES (2 MODULOS) COM INTERRUPTOR PARALELO (1 MODULO), 10A/250V, INCLUINDO SUPORTE E PLACA - FORNECIMENTO E INSTALACAO. AF_12/2015 /UN</v>
          </cell>
          <cell r="C514">
            <v>0</v>
          </cell>
          <cell r="D514">
            <v>0</v>
          </cell>
          <cell r="E514">
            <v>51.09</v>
          </cell>
        </row>
        <row r="515">
          <cell r="A515">
            <v>1201002018</v>
          </cell>
          <cell r="B515" t="str">
            <v>SINAPI - 92023 - INTERRUPTOR SIMPLES (1 MODULO) COM 1 TOMADA DE EMBUTIR 2P+T 10 A,  INCLUINDO SUPORTE E PLACA - FORNECIMENTO E INSTALACAO. AF_12/2015 /UN</v>
          </cell>
          <cell r="C515">
            <v>0</v>
          </cell>
          <cell r="D515">
            <v>0</v>
          </cell>
          <cell r="E515">
            <v>37.54</v>
          </cell>
        </row>
        <row r="516">
          <cell r="A516">
            <v>1201002020</v>
          </cell>
          <cell r="B516" t="str">
            <v>SINAPI - 91985 - INTERRUPTOR PULSADOR CAMPAINHA (1 MODULO), 10A/250V, INCLUINDO SUPORTE E PLACA - FORNECIMENTO E INSTALACAO. AF_09/2017 /UN</v>
          </cell>
          <cell r="C516">
            <v>0</v>
          </cell>
          <cell r="D516">
            <v>0</v>
          </cell>
          <cell r="E516">
            <v>20.190000000000001</v>
          </cell>
        </row>
        <row r="517">
          <cell r="A517">
            <v>1201002021</v>
          </cell>
          <cell r="B517" t="str">
            <v>SINAPI - 92029 - INTERRUPTOR PARALELO (1 MODULO) COM 1 TOMADA DE EMBUTIR 2P+T 10 A,  INCLUINDO SUPORTE E PLACA - FORNECIMENTO E INSTALACAO. AF_12/2015 /UN</v>
          </cell>
          <cell r="C517">
            <v>0</v>
          </cell>
          <cell r="D517">
            <v>0</v>
          </cell>
          <cell r="E517">
            <v>42.49</v>
          </cell>
        </row>
        <row r="518">
          <cell r="A518">
            <v>1201002022</v>
          </cell>
          <cell r="B518" t="str">
            <v>SINAPI - 92033 - INTERRUPTOR PARALELO (2 MODULOS) COM 1 TOMADA DE EMBUTIR 2P+T 10 A,  INCLUINDO SUPORTE E PLACA - FORNECIMENTO E INSTALACAO. AF_12/2015 /UN</v>
          </cell>
          <cell r="C518">
            <v>0</v>
          </cell>
          <cell r="D518">
            <v>0</v>
          </cell>
          <cell r="E518">
            <v>59.84</v>
          </cell>
        </row>
        <row r="519">
          <cell r="A519">
            <v>1201002023</v>
          </cell>
          <cell r="B519" t="str">
            <v>SINAPI - 92027 - INTERRUPTOR SIMPLES (2 MODULOS) COM 1 TOMADA DE EMBUTIR 2P+T 10 A,  INCLUINDO SUPORTE E PLACA - FORNECIMENTO E INSTALACAO. AF_12/2015 /UN</v>
          </cell>
          <cell r="C519">
            <v>0</v>
          </cell>
          <cell r="D519">
            <v>0</v>
          </cell>
          <cell r="E519">
            <v>49.99</v>
          </cell>
        </row>
        <row r="520">
          <cell r="A520">
            <v>1201002024</v>
          </cell>
          <cell r="B520" t="str">
            <v>SINAPI - 92035 - INTERRUPTOR SIMPLES (1 MODULO), INTERRUPTOR PARALELO (1 MODULO) E 1 TOMADA DE EMBUTIR 2P+T 10 A,  INCLUINDO SUPORTE E PLACA - FORNECIMENTO E INSTALACAO. AF_12/2015 /UN</v>
          </cell>
          <cell r="C520">
            <v>0</v>
          </cell>
          <cell r="D520">
            <v>0</v>
          </cell>
          <cell r="E520">
            <v>54.94</v>
          </cell>
        </row>
        <row r="521">
          <cell r="A521">
            <v>1201002028</v>
          </cell>
          <cell r="B521" t="str">
            <v>SINAPI - 91992 - TOMADA ALTA DE EMBUTIR (1 MODULO), 2P+T 10 A, INCLUINDO SUPORTE E PLACA - FORNECIMENTO E INSTALACAO. AF_12/2015 /UN</v>
          </cell>
          <cell r="C521">
            <v>0</v>
          </cell>
          <cell r="D521">
            <v>0</v>
          </cell>
          <cell r="E521">
            <v>31.73</v>
          </cell>
        </row>
        <row r="522">
          <cell r="A522">
            <v>1201002029</v>
          </cell>
          <cell r="B522" t="str">
            <v>SINAPI - 91996 - TOMADA MEDIA DE EMBUTIR (1 MODULO), 2P+T 10 A, INCLUINDO SUPORTE E PLACA - FORNECIMENTO E INSTALACAO. AF_12/2015 /UN</v>
          </cell>
          <cell r="C522">
            <v>0</v>
          </cell>
          <cell r="D522">
            <v>0</v>
          </cell>
          <cell r="E522">
            <v>25.12</v>
          </cell>
        </row>
        <row r="523">
          <cell r="A523">
            <v>1201002030</v>
          </cell>
          <cell r="B523" t="str">
            <v>SINAPI - 92000 - TOMADA BAIXA DE EMBUTIR (1 MODULO), 2P+T 10 A, INCLUINDO SUPORTE E PLACA - FORNECIMENTO E INSTALACAO. AF_12/2015 /UN</v>
          </cell>
          <cell r="C523">
            <v>0</v>
          </cell>
          <cell r="D523">
            <v>0</v>
          </cell>
          <cell r="E523">
            <v>22.55</v>
          </cell>
        </row>
        <row r="524">
          <cell r="A524">
            <v>1201002031</v>
          </cell>
          <cell r="B524" t="str">
            <v>SINAPI - 91997 - TOMADA MEDIA DE EMBUTIR (1 MODULO), 2P+T 20 A, INCLUINDO SUPORTE E PLACA - FORNECIMENTO E INSTALACAO. AF_12/2015 /UN</v>
          </cell>
          <cell r="C524">
            <v>0</v>
          </cell>
          <cell r="D524">
            <v>0</v>
          </cell>
          <cell r="E524">
            <v>27.24</v>
          </cell>
        </row>
        <row r="525">
          <cell r="A525">
            <v>1201002032</v>
          </cell>
          <cell r="B525" t="str">
            <v>SINAPI - 92004 - TOMADA MEDIA DE EMBUTIR (2 MODULOS), 2P+T 10 A, INCLUINDO SUPORTE E PLACA - FORNECIMENTO E INSTALACAO. AF_12/2015 /UN</v>
          </cell>
          <cell r="C525">
            <v>0</v>
          </cell>
          <cell r="D525">
            <v>0</v>
          </cell>
          <cell r="E525">
            <v>41.39</v>
          </cell>
        </row>
        <row r="526">
          <cell r="A526">
            <v>1201002033</v>
          </cell>
          <cell r="B526" t="str">
            <v>SINAPI - 92008 - TOMADA BAIXA DE EMBUTIR (2 MODULOS), 2P+T 10 A, INCLUINDO SUPORTE E PLACA - FORNECIMENTO E INSTALACAO. AF_12/2015 /UN</v>
          </cell>
          <cell r="C526">
            <v>0</v>
          </cell>
          <cell r="D526">
            <v>0</v>
          </cell>
          <cell r="E526">
            <v>36.24</v>
          </cell>
        </row>
        <row r="527">
          <cell r="A527">
            <v>1201002048</v>
          </cell>
          <cell r="B527" t="str">
            <v>SINAPI - 98307 - TOMADA DE REDE RJ45 - FORNECIMENTO E INSTALACAO. AF_11/2019 /UN</v>
          </cell>
          <cell r="C527">
            <v>0</v>
          </cell>
          <cell r="D527">
            <v>0</v>
          </cell>
          <cell r="E527">
            <v>41.86</v>
          </cell>
        </row>
        <row r="528">
          <cell r="A528">
            <v>1201002049</v>
          </cell>
          <cell r="B528" t="str">
            <v>SINAPI - 98308 - TOMADA PARA TELEFONE RJ11 - FORNECIMENTO E INSTALACAO. AF_11/2019 /UN</v>
          </cell>
          <cell r="C528">
            <v>0</v>
          </cell>
          <cell r="D528">
            <v>0</v>
          </cell>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v>0</v>
          </cell>
          <cell r="B538">
            <v>0</v>
          </cell>
          <cell r="C538">
            <v>0</v>
          </cell>
          <cell r="D538">
            <v>0</v>
          </cell>
          <cell r="E538">
            <v>0</v>
          </cell>
        </row>
        <row r="539">
          <cell r="A539">
            <v>0</v>
          </cell>
          <cell r="B539" t="str">
            <v>*  FIOS E CABOS DE COBRE</v>
          </cell>
          <cell r="C539">
            <v>0</v>
          </cell>
          <cell r="D539">
            <v>0</v>
          </cell>
          <cell r="E539">
            <v>0</v>
          </cell>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v>0</v>
          </cell>
          <cell r="D544">
            <v>0</v>
          </cell>
          <cell r="E544">
            <v>2.78</v>
          </cell>
        </row>
        <row r="545">
          <cell r="A545">
            <v>1201003009</v>
          </cell>
          <cell r="B545" t="str">
            <v>SINAPI - 91928 - CABO DE COBRE FLEXIVEL ISOLADO, 4 MM2, ANTI-CHAMA 450/750 V, PARA CIRCUITOS TERMINAIS - FORNECIMENTO E INSTALACAO. AF_12/2015 /M</v>
          </cell>
          <cell r="C545">
            <v>0</v>
          </cell>
          <cell r="D545">
            <v>0</v>
          </cell>
          <cell r="E545">
            <v>4.46</v>
          </cell>
        </row>
        <row r="546">
          <cell r="A546">
            <v>1201003010</v>
          </cell>
          <cell r="B546" t="str">
            <v>SINAPI - 91930 - CABO DE COBRE FLEXIVEL ISOLADO, 6 MM2, ANTI-CHAMA 450/750 V, PARA CIRCUITOS TERMINAIS - FORNECIMENTO E INSTALACAO. AF_12/2015 /M</v>
          </cell>
          <cell r="C546">
            <v>0</v>
          </cell>
          <cell r="D546">
            <v>0</v>
          </cell>
          <cell r="E546">
            <v>6.12</v>
          </cell>
        </row>
        <row r="547">
          <cell r="A547">
            <v>1201003012</v>
          </cell>
          <cell r="B547" t="str">
            <v>SINAPI - 91932 - CABO DE COBRE FLEXIVEL ISOLADO, 10 MM2, ANTI-CHAMA 450/750 V, PARA CIRCUITOS TERMINAIS - FORNECIMENTO E INSTALACAO. AF_12/2015 /M</v>
          </cell>
          <cell r="C547">
            <v>0</v>
          </cell>
          <cell r="D547">
            <v>0</v>
          </cell>
          <cell r="E547">
            <v>10.050000000000001</v>
          </cell>
        </row>
        <row r="548">
          <cell r="A548">
            <v>1201003014</v>
          </cell>
          <cell r="B548" t="str">
            <v>SINAPI - 91934 - CABO DE COBRE FLEXIVEL ISOLADO, 16 MM2, ANTI-CHAMA 450/750 V, PARA CIRCUITOS TERMINAIS - FORNECIMENTO E INSTALACAO. AF_12/2015 /M</v>
          </cell>
          <cell r="C548">
            <v>0</v>
          </cell>
          <cell r="D548">
            <v>0</v>
          </cell>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v>0</v>
          </cell>
          <cell r="D566">
            <v>0</v>
          </cell>
          <cell r="E566">
            <v>5.0599999999999996</v>
          </cell>
        </row>
        <row r="567">
          <cell r="A567">
            <v>1201003042</v>
          </cell>
          <cell r="B567" t="str">
            <v>SINAPI - 91931 - CABO DE COBRE FLEXIVEL ISOLADO, 6 MM2, ANTI-CHAMA 0,6/1,0 KV, PARA CIRCUITOS TERMINAIS - FORNECIMENTO E INSTALACAO. AF_12/2015 /M</v>
          </cell>
          <cell r="C567">
            <v>0</v>
          </cell>
          <cell r="D567">
            <v>0</v>
          </cell>
          <cell r="E567">
            <v>6.82</v>
          </cell>
        </row>
        <row r="568">
          <cell r="A568">
            <v>1201003044</v>
          </cell>
          <cell r="B568" t="str">
            <v>SINAPI - 91933 - CABO DE COBRE FLEXIVEL ISOLADO, 10 MM2, ANTI-CHAMA 0,6/1,0 KV, PARA CIRCUITOS TERMINAIS - FORNECIMENTO E INSTALACAO. AF_12/2015 /M</v>
          </cell>
          <cell r="C568">
            <v>0</v>
          </cell>
          <cell r="D568">
            <v>0</v>
          </cell>
          <cell r="E568">
            <v>10.7</v>
          </cell>
        </row>
        <row r="569">
          <cell r="A569">
            <v>1201003045</v>
          </cell>
          <cell r="B569" t="str">
            <v>SINAPI - 92980 - CABO DE COBRE FLEXIVEL ISOLADO, 10 MM2, ANTI-CHAMA 0,6/1,0 KV, PARA DISTRIBUICAO - FORNECIMENTO E INSTALACAO. AF_12/2015 /M</v>
          </cell>
          <cell r="C569">
            <v>0</v>
          </cell>
          <cell r="D569">
            <v>0</v>
          </cell>
          <cell r="E569">
            <v>7.21</v>
          </cell>
        </row>
        <row r="570">
          <cell r="A570">
            <v>1201003046</v>
          </cell>
          <cell r="B570" t="str">
            <v>SINAPI - 91935 - CABO DE COBRE FLEXIVEL ISOLADO, 16 MM2, ANTI-CHAMA 0,6/1,0 KV, PARA CIRCUITOS TERMINAIS - FORNECIMENTO E INSTALACAO. AF_12/2015 /M</v>
          </cell>
          <cell r="C570">
            <v>0</v>
          </cell>
          <cell r="D570">
            <v>0</v>
          </cell>
          <cell r="E570">
            <v>16.3</v>
          </cell>
        </row>
        <row r="571">
          <cell r="A571">
            <v>1201003047</v>
          </cell>
          <cell r="B571" t="str">
            <v>SINAPI - 92982 - CABO DE COBRE FLEXIVEL ISOLADO, 16 MM2, ANTI-CHAMA 0,6/1,0 KV, PARA DISTRIBUICAO - FORNECIMENTO E INSTALACAO. AF_12/2015 /M</v>
          </cell>
          <cell r="C571">
            <v>0</v>
          </cell>
          <cell r="D571">
            <v>0</v>
          </cell>
          <cell r="E571">
            <v>11.04</v>
          </cell>
        </row>
        <row r="572">
          <cell r="A572">
            <v>1201003048</v>
          </cell>
          <cell r="B572" t="str">
            <v>SINAPI - 92984 - CABO DE COBRE FLEXIVEL ISOLADO, 25 MM2, ANTI-CHAMA 0,6/1,0 KV, PARA DISTRIBUICAO - FORNECIMENTO E INSTALACAO. AF_12/2015 /M</v>
          </cell>
          <cell r="C572">
            <v>0</v>
          </cell>
          <cell r="D572">
            <v>0</v>
          </cell>
          <cell r="E572">
            <v>18.170000000000002</v>
          </cell>
        </row>
        <row r="573">
          <cell r="A573">
            <v>1201003050</v>
          </cell>
          <cell r="B573" t="str">
            <v>SINAPI - 92986 - CABO DE COBRE FLEXIVEL ISOLADO, 35 MM2, ANTI-CHAMA 0,6/1,0 KV, PARA DISTRIBUICAO - FORNECIMENTO E INSTALACAO. AF_12/2015 /M</v>
          </cell>
          <cell r="C573">
            <v>0</v>
          </cell>
          <cell r="D573">
            <v>0</v>
          </cell>
          <cell r="E573">
            <v>24.51</v>
          </cell>
        </row>
        <row r="574">
          <cell r="A574">
            <v>1201003052</v>
          </cell>
          <cell r="B574" t="str">
            <v>SINAPI - 92988 - CABO DE COBRE FLEXIVEL ISOLADO, 50 MM2, ANTI-CHAMA 0,6/1,0 KV, PARA DISTRIBUICAO - FORNECIMENTO E INSTALACAO. AF_12/2015 /M</v>
          </cell>
          <cell r="C574">
            <v>0</v>
          </cell>
          <cell r="D574">
            <v>0</v>
          </cell>
          <cell r="E574">
            <v>34.33</v>
          </cell>
        </row>
        <row r="575">
          <cell r="A575">
            <v>1201003054</v>
          </cell>
          <cell r="B575" t="str">
            <v>SINAPI - 92990 - CABO DE COBRE FLEXIVEL ISOLADO, 70 MM2, ANTI-CHAMA 0,6/1,0 KV, PARA DISTRIBUICAO - FORNECIMENTO E INSTALACAO. AF_12/2015 /M</v>
          </cell>
          <cell r="C575">
            <v>0</v>
          </cell>
          <cell r="D575">
            <v>0</v>
          </cell>
          <cell r="E575">
            <v>47.02</v>
          </cell>
        </row>
        <row r="576">
          <cell r="A576">
            <v>1201003056</v>
          </cell>
          <cell r="B576" t="str">
            <v>SINAPI - 92992 - CABO DE COBRE FLEXIVEL ISOLADO, 95 MM2, ANTI-CHAMA 0,6/1,0 KV, PARA DISTRIBUICAO - FORNECIMENTO E INSTALACAO. AF_12/2015 /M</v>
          </cell>
          <cell r="C576">
            <v>0</v>
          </cell>
          <cell r="D576">
            <v>0</v>
          </cell>
          <cell r="E576">
            <v>62.04</v>
          </cell>
        </row>
        <row r="577">
          <cell r="A577">
            <v>1201003058</v>
          </cell>
          <cell r="B577" t="str">
            <v>SINAPI - 92994 - CABO DE COBRE FLEXIVEL ISOLADO, 120 MM2, ANTI-CHAMA 0,6/1,0 KV, PARA DISTRIBUICAO - FORNECIMENTO E INSTALACAO. AF_12/2015 /M</v>
          </cell>
          <cell r="C577">
            <v>0</v>
          </cell>
          <cell r="D577">
            <v>0</v>
          </cell>
          <cell r="E577">
            <v>80.23</v>
          </cell>
        </row>
        <row r="578">
          <cell r="A578">
            <v>1201003060</v>
          </cell>
          <cell r="B578" t="str">
            <v>SINAPI - 92996 - CABO DE COBRE FLEXIVEL ISOLADO, 150 MM2, ANTI-CHAMA 0,6/1,0 KV, PARA DISTRIBUICAO - FORNECIMENTO E INSTALACAO. AF_12/2015 /M</v>
          </cell>
          <cell r="C578">
            <v>0</v>
          </cell>
          <cell r="D578">
            <v>0</v>
          </cell>
          <cell r="E578">
            <v>99.1</v>
          </cell>
        </row>
        <row r="579">
          <cell r="A579">
            <v>1201003062</v>
          </cell>
          <cell r="B579" t="str">
            <v>SINAPI - 92998 - CABO DE COBRE FLEXIVEL ISOLADO, 185 MM2, ANTI-CHAMA 0,6/1,0 KV, PARA DISTRIBUICAO - FORNECIMENTO E INSTALACAO. AF_12/2015 /M</v>
          </cell>
          <cell r="C579">
            <v>0</v>
          </cell>
          <cell r="D579">
            <v>0</v>
          </cell>
          <cell r="E579">
            <v>121.22</v>
          </cell>
        </row>
        <row r="580">
          <cell r="A580">
            <v>1201003064</v>
          </cell>
          <cell r="B580" t="str">
            <v>SINAPI - 93000 - CABO DE COBRE FLEXIVEL ISOLADO, 240 MM2, ANTI-CHAMA 0,6/1,0 KV, PARA DISTRIBUICAO - FORNECIMENTO E INSTALACAO. AF_12/2015 /M</v>
          </cell>
          <cell r="C580">
            <v>0</v>
          </cell>
          <cell r="D580">
            <v>0</v>
          </cell>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v>0</v>
          </cell>
          <cell r="D584">
            <v>0</v>
          </cell>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v>0</v>
          </cell>
          <cell r="D590">
            <v>0</v>
          </cell>
          <cell r="E590">
            <v>24.03</v>
          </cell>
        </row>
        <row r="591">
          <cell r="A591">
            <v>1201003085</v>
          </cell>
          <cell r="B591" t="str">
            <v>SINAPI - 96972 - CORDOALHA DE COBRE NU 25 MM2, NAO ENTERRADA, COM ISOLADOR - FORNECIMENTO E INSTALACAO. AF_12/2017 /M</v>
          </cell>
          <cell r="C591">
            <v>0</v>
          </cell>
          <cell r="D591">
            <v>0</v>
          </cell>
          <cell r="E591">
            <v>32.5</v>
          </cell>
        </row>
        <row r="592">
          <cell r="A592">
            <v>1201003086</v>
          </cell>
          <cell r="B592" t="str">
            <v>SINAPI - 96973 - CORDOALHA DE COBRE NU 35 MM2, NAO ENTERRADA, COM ISOLADOR - FORNECIMENTO E INSTALACAO. AF_12/2017 /M</v>
          </cell>
          <cell r="C592">
            <v>0</v>
          </cell>
          <cell r="D592">
            <v>0</v>
          </cell>
          <cell r="E592">
            <v>40.659999999999997</v>
          </cell>
        </row>
        <row r="593">
          <cell r="A593">
            <v>1201003087</v>
          </cell>
          <cell r="B593" t="str">
            <v>SINAPI - 96974 - CORDOALHA DE COBRE NU 50 MM2, NAO ENTERRADA, COM ISOLADOR - FORNECIMENTO E INSTALACAO. AF_12/2017 /M</v>
          </cell>
          <cell r="C593">
            <v>0</v>
          </cell>
          <cell r="D593">
            <v>0</v>
          </cell>
          <cell r="E593">
            <v>51.38</v>
          </cell>
        </row>
        <row r="594">
          <cell r="A594">
            <v>1201003088</v>
          </cell>
          <cell r="B594" t="str">
            <v>SINAPI - 96975 - CORDOALHA DE COBRE NU 70 MM2, NAO ENTERRADA, COM ISOLADOR - FORNECIMENTO E INSTALACAO. AF_12/2017 /M</v>
          </cell>
          <cell r="C594">
            <v>0</v>
          </cell>
          <cell r="D594">
            <v>0</v>
          </cell>
          <cell r="E594">
            <v>65.63</v>
          </cell>
        </row>
        <row r="595">
          <cell r="A595">
            <v>1201003089</v>
          </cell>
          <cell r="B595" t="str">
            <v>SINAPI - 96976 - CORDOALHA DE COBRE NU 95 MM2, NAO ENTERRADA, COM ISOLADOR - FORNECIMENTO E INSTALACAO. AF_12/2017 /M</v>
          </cell>
          <cell r="C595">
            <v>0</v>
          </cell>
          <cell r="D595">
            <v>0</v>
          </cell>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v>0</v>
          </cell>
          <cell r="D611">
            <v>0</v>
          </cell>
          <cell r="E611">
            <v>1.36</v>
          </cell>
        </row>
        <row r="612">
          <cell r="A612">
            <v>1201003410</v>
          </cell>
          <cell r="B612" t="str">
            <v>SINAPI - 98297 - CABO ELETRONICO CATEGORIA 6, INSTALADO EM EDIFICACAO INSTITUCIONAL - FORNECIMENTO E INSTALACAO. AF_11/2019 /M</v>
          </cell>
          <cell r="C612">
            <v>0</v>
          </cell>
          <cell r="D612">
            <v>0</v>
          </cell>
          <cell r="E612">
            <v>2.06</v>
          </cell>
        </row>
        <row r="613">
          <cell r="A613">
            <v>0</v>
          </cell>
          <cell r="B613">
            <v>0</v>
          </cell>
          <cell r="C613">
            <v>0</v>
          </cell>
          <cell r="D613">
            <v>0</v>
          </cell>
          <cell r="E613">
            <v>0</v>
          </cell>
        </row>
        <row r="614">
          <cell r="A614">
            <v>0</v>
          </cell>
          <cell r="B614" t="str">
            <v>*  ELETRODUTOS</v>
          </cell>
          <cell r="C614">
            <v>0</v>
          </cell>
          <cell r="D614">
            <v>0</v>
          </cell>
          <cell r="E614">
            <v>0</v>
          </cell>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v>0</v>
          </cell>
          <cell r="D623">
            <v>0</v>
          </cell>
          <cell r="E623">
            <v>16.2</v>
          </cell>
        </row>
        <row r="624">
          <cell r="A624">
            <v>1201004042</v>
          </cell>
          <cell r="B624" t="str">
            <v>SINAPI - 95750 - ELETRODUTO DE ACO GALVANIZADO, CLASSE LEVE, DN 25 MM (1"), APARENTE, INSTALADO EM PAREDE - FORNECIMENTO E INSTALACAO. AF_11/2016_P /M</v>
          </cell>
          <cell r="C624">
            <v>0</v>
          </cell>
          <cell r="D624">
            <v>0</v>
          </cell>
          <cell r="E624">
            <v>18.59</v>
          </cell>
        </row>
        <row r="625">
          <cell r="A625">
            <v>1201004044</v>
          </cell>
          <cell r="B625" t="str">
            <v>SINAPI - 95752 - ELETRODUTO DE ACO GALVANIZADO, CLASSE SEMI PESADO, DN 40 MM (1 1/2"), APARENTE, INSTALADO EM PAREDE - FORNECIMENTO E INSTALACAO. AF_11/2016_P /M</v>
          </cell>
          <cell r="C625">
            <v>0</v>
          </cell>
          <cell r="D625">
            <v>0</v>
          </cell>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v>0</v>
          </cell>
          <cell r="B640">
            <v>0</v>
          </cell>
          <cell r="C640">
            <v>0</v>
          </cell>
          <cell r="D640">
            <v>0</v>
          </cell>
          <cell r="E640">
            <v>0</v>
          </cell>
        </row>
        <row r="641">
          <cell r="A641">
            <v>0</v>
          </cell>
          <cell r="B641" t="str">
            <v>*  QUADROS, DISJUNTORES E CAIXAS</v>
          </cell>
          <cell r="C641">
            <v>0</v>
          </cell>
          <cell r="D641">
            <v>0</v>
          </cell>
          <cell r="E641">
            <v>0</v>
          </cell>
        </row>
        <row r="642">
          <cell r="A642">
            <v>1201005000</v>
          </cell>
          <cell r="B642" t="str">
            <v>SINAPI - 101877 - QUADRO DE DISTRIBUICAO DE ENERGIA EM PVC, DE EMBUTIR, SEM BARRAMENTO, PARA 3 DISJUNTORES - FORNECIMENTO E INSTALACAO. AF_10/2020 /UN</v>
          </cell>
          <cell r="C642">
            <v>0</v>
          </cell>
          <cell r="D642">
            <v>0</v>
          </cell>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v>0</v>
          </cell>
          <cell r="D655">
            <v>0</v>
          </cell>
          <cell r="E655">
            <v>11.66</v>
          </cell>
        </row>
        <row r="656">
          <cell r="A656">
            <v>1201005038</v>
          </cell>
          <cell r="B656" t="str">
            <v>SINAPI - 93655 - DISJUNTOR MONOPOLAR TIPO DIN, CORRENTE NOMINAL DE 20A - FORNECIMENTO E INSTALACAO. AF_10/2020 /UN</v>
          </cell>
          <cell r="C656">
            <v>0</v>
          </cell>
          <cell r="D656">
            <v>0</v>
          </cell>
          <cell r="E656">
            <v>12.57</v>
          </cell>
        </row>
        <row r="657">
          <cell r="A657">
            <v>1201005039</v>
          </cell>
          <cell r="B657" t="str">
            <v>SINAPI - 93656 - DISJUNTOR MONOPOLAR TIPO DIN, CORRENTE NOMINAL DE 25A - FORNECIMENTO E INSTALACAO. AF_10/2020 /UN</v>
          </cell>
          <cell r="C657">
            <v>0</v>
          </cell>
          <cell r="D657">
            <v>0</v>
          </cell>
          <cell r="E657">
            <v>12.57</v>
          </cell>
        </row>
        <row r="658">
          <cell r="A658">
            <v>1201005040</v>
          </cell>
          <cell r="B658" t="str">
            <v>SINAPI - 101890 - DISJUNTOR MONOPOLAR TIPO NEMA, CORRENTE NOMINAL DE 10 ATE 30A - FORNECIMENTO E INSTALACAO. AF_10/2020 /UN</v>
          </cell>
          <cell r="C658">
            <v>0</v>
          </cell>
          <cell r="D658">
            <v>0</v>
          </cell>
          <cell r="E658">
            <v>15.28</v>
          </cell>
        </row>
        <row r="659">
          <cell r="A659">
            <v>1201005056</v>
          </cell>
          <cell r="B659" t="str">
            <v>SINAPI - 93661 - DISJUNTOR BIPOLAR TIPO DIN, CORRENTE NOMINAL DE 16A - FORNECIMENTO E INSTALACAO. AF_10/2020 /UN</v>
          </cell>
          <cell r="C659">
            <v>0</v>
          </cell>
          <cell r="D659">
            <v>0</v>
          </cell>
          <cell r="E659">
            <v>57.63</v>
          </cell>
        </row>
        <row r="660">
          <cell r="A660">
            <v>1201005057</v>
          </cell>
          <cell r="B660" t="str">
            <v>SINAPI - 93662 - DISJUNTOR BIPOLAR TIPO DIN, CORRENTE NOMINAL DE 20A - FORNECIMENTO E INSTALACAO. AF_10/2020 /UN</v>
          </cell>
          <cell r="C660">
            <v>0</v>
          </cell>
          <cell r="D660">
            <v>0</v>
          </cell>
          <cell r="E660">
            <v>59.44</v>
          </cell>
        </row>
        <row r="661">
          <cell r="A661">
            <v>1201005058</v>
          </cell>
          <cell r="B661" t="str">
            <v>SINAPI - 93663 - DISJUNTOR BIPOLAR TIPO DIN, CORRENTE NOMINAL DE 25A - FORNECIMENTO E INSTALACAO. AF_10/2020 /UN</v>
          </cell>
          <cell r="C661">
            <v>0</v>
          </cell>
          <cell r="D661">
            <v>0</v>
          </cell>
          <cell r="E661">
            <v>59.44</v>
          </cell>
        </row>
        <row r="662">
          <cell r="A662">
            <v>1201005059</v>
          </cell>
          <cell r="B662" t="str">
            <v>SINAPI - 93664 - DISJUNTOR BIPOLAR TIPO DIN, CORRENTE NOMINAL DE 32A - FORNECIMENTO E INSTALACAO. AF_10/2020 /UN</v>
          </cell>
          <cell r="C662">
            <v>0</v>
          </cell>
          <cell r="D662">
            <v>0</v>
          </cell>
          <cell r="E662">
            <v>61.59</v>
          </cell>
        </row>
        <row r="663">
          <cell r="A663">
            <v>1201005060</v>
          </cell>
          <cell r="B663" t="str">
            <v>SINAPI - 101892 - DISJUNTOR BIPOLAR TIPO NEMA, CORRENTE NOMINAL DE 10 ATE 50A - FORNECIMENTO E INSTALACAO. AF_10/2020 /UN</v>
          </cell>
          <cell r="C663">
            <v>0</v>
          </cell>
          <cell r="D663">
            <v>0</v>
          </cell>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v>0</v>
          </cell>
          <cell r="D665">
            <v>0</v>
          </cell>
          <cell r="E665">
            <v>71.97</v>
          </cell>
        </row>
        <row r="666">
          <cell r="A666">
            <v>1201005085</v>
          </cell>
          <cell r="B666" t="str">
            <v>SINAPI - 93669 - DISJUNTOR TRIPOLAR TIPO DIN, CORRENTE NOMINAL DE 20A - FORNECIMENTO E INSTALACAO. AF_10/2020 /UN</v>
          </cell>
          <cell r="C666">
            <v>0</v>
          </cell>
          <cell r="D666">
            <v>0</v>
          </cell>
          <cell r="E666">
            <v>74.7</v>
          </cell>
        </row>
        <row r="667">
          <cell r="A667">
            <v>1201005086</v>
          </cell>
          <cell r="B667" t="str">
            <v>SINAPI - 93670 - DISJUNTOR TRIPOLAR TIPO DIN, CORRENTE NOMINAL DE 25A - FORNECIMENTO E INSTALACAO. AF_10/2020 /UN</v>
          </cell>
          <cell r="C667">
            <v>0</v>
          </cell>
          <cell r="D667">
            <v>0</v>
          </cell>
          <cell r="E667">
            <v>74.7</v>
          </cell>
        </row>
        <row r="668">
          <cell r="A668">
            <v>1201005087</v>
          </cell>
          <cell r="B668" t="str">
            <v>SINAPI - 93673 - DISJUNTOR TRIPOLAR TIPO DIN, CORRENTE NOMINAL DE 50A - FORNECIMENTO E INSTALACAO. AF_10/2020 /UN</v>
          </cell>
          <cell r="C668">
            <v>0</v>
          </cell>
          <cell r="D668">
            <v>0</v>
          </cell>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v>0</v>
          </cell>
          <cell r="D671">
            <v>0</v>
          </cell>
          <cell r="E671">
            <v>90.05</v>
          </cell>
        </row>
        <row r="672">
          <cell r="A672">
            <v>1201005098</v>
          </cell>
          <cell r="B672" t="str">
            <v>SINAPI - 101894 - DISJUNTOR TRIPOLAR TIPO NEMA, CORRENTE NOMINAL DE 60 ATE 100A - FORNECIMENTO E INSTALACAO. AF_10/2020 /UN</v>
          </cell>
          <cell r="C672">
            <v>0</v>
          </cell>
          <cell r="D672">
            <v>0</v>
          </cell>
          <cell r="E672">
            <v>146.81</v>
          </cell>
        </row>
        <row r="673">
          <cell r="A673">
            <v>1201005120</v>
          </cell>
          <cell r="B673" t="str">
            <v>SINAPI - 101895 - DISJUNTOR TERMOMAGNETICO TRIPOLAR , CORRENTE NOMINAL DE 125A - FORNECIMENTO E INSTALACAO. AF_10/2020 /UN</v>
          </cell>
          <cell r="C673">
            <v>0</v>
          </cell>
          <cell r="D673">
            <v>0</v>
          </cell>
          <cell r="E673">
            <v>411.69</v>
          </cell>
        </row>
        <row r="674">
          <cell r="A674">
            <v>1201005122</v>
          </cell>
          <cell r="B674" t="str">
            <v>SINAPI - 101896 - DISJUNTOR TERMOMAGNETICO TRIPOLAR , CORRENTE NOMINAL DE 200A - FORNECIMENTO E INSTALACAO. AF_10/2020 /UN</v>
          </cell>
          <cell r="C674">
            <v>0</v>
          </cell>
          <cell r="D674">
            <v>0</v>
          </cell>
          <cell r="E674">
            <v>627.12</v>
          </cell>
        </row>
        <row r="675">
          <cell r="A675">
            <v>1201005126</v>
          </cell>
          <cell r="B675" t="str">
            <v>SINAPI - 101897 - DISJUNTOR TERMOMAGNETICO TRIPOLAR , CORRENTE NOMINAL DE 250A - FORNECIMENTO E INSTALACAO. AF_10/2020 /UN</v>
          </cell>
          <cell r="C675">
            <v>0</v>
          </cell>
          <cell r="D675">
            <v>0</v>
          </cell>
          <cell r="E675">
            <v>1013.39</v>
          </cell>
        </row>
        <row r="676">
          <cell r="A676">
            <v>1201005128</v>
          </cell>
          <cell r="B676" t="str">
            <v>SINAPI - 101898 - DISJUNTOR TERMOMAGNETICO TRIPOLAR , CORRENTE NOMINAL DE 400A - FORNECIMENTO E INSTALACAO. AF_10/2020 /UN</v>
          </cell>
          <cell r="C676">
            <v>0</v>
          </cell>
          <cell r="D676">
            <v>0</v>
          </cell>
          <cell r="E676">
            <v>1364.02</v>
          </cell>
        </row>
        <row r="677">
          <cell r="A677">
            <v>1201005130</v>
          </cell>
          <cell r="B677" t="str">
            <v>SINAPI - 101899 - DISJUNTOR TERMOMAGNETICO TRIPOLAR , CORRENTE NOMINAL DE 600A - FORNECIMENTO E INSTALACAO. AF_10/2020 /UN</v>
          </cell>
          <cell r="C677">
            <v>0</v>
          </cell>
          <cell r="D677">
            <v>0</v>
          </cell>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v>0</v>
          </cell>
          <cell r="D690">
            <v>0</v>
          </cell>
          <cell r="E690">
            <v>20.11</v>
          </cell>
        </row>
        <row r="691">
          <cell r="A691">
            <v>1201005399</v>
          </cell>
          <cell r="B691" t="str">
            <v>SINAPI - 92868 - CAIXA RETANGULAR 4" X 2" MEDIA (1,30 M DO PISO), METALICA, INSTALADA EM PAREDE - FORNECIMENTO E INSTALACAO. AF_12/2015 /UN</v>
          </cell>
          <cell r="C691">
            <v>0</v>
          </cell>
          <cell r="D691">
            <v>0</v>
          </cell>
          <cell r="E691">
            <v>10.54</v>
          </cell>
        </row>
        <row r="692">
          <cell r="A692">
            <v>1201005400</v>
          </cell>
          <cell r="B692" t="str">
            <v>SINAPI - 92869 - CAIXA RETANGULAR 4" X 2" BAIXA (0,30 M DO PISO), METALICA, INSTALADA EM PAREDE - FORNECIMENTO E INSTALACAO. AF_12/2015 /UN</v>
          </cell>
          <cell r="C692">
            <v>0</v>
          </cell>
          <cell r="D692">
            <v>0</v>
          </cell>
          <cell r="E692">
            <v>6.96</v>
          </cell>
        </row>
        <row r="693">
          <cell r="A693">
            <v>1201005401</v>
          </cell>
          <cell r="B693" t="str">
            <v>SINAPI - 92870 - CAIXA RETANGULAR 4" X 4" ALTA (2,00 M DO PISO), METALICA, INSTALADA EM PAREDE - FORNECIMENTO E INSTALACAO. AF_12/2015 /UN</v>
          </cell>
          <cell r="C693">
            <v>0</v>
          </cell>
          <cell r="D693">
            <v>0</v>
          </cell>
          <cell r="E693">
            <v>24.58</v>
          </cell>
        </row>
        <row r="694">
          <cell r="A694">
            <v>1201005402</v>
          </cell>
          <cell r="B694" t="str">
            <v>SINAPI - 92871 - CAIXA RETANGULAR 4" X 4" MEDIA (1,30 M DO PISO), METALICA, INSTALADA EM PAREDE - FORNECIMENTO E INSTALACAO. AF_12/2015 /UN</v>
          </cell>
          <cell r="C694">
            <v>0</v>
          </cell>
          <cell r="D694">
            <v>0</v>
          </cell>
          <cell r="E694">
            <v>13.57</v>
          </cell>
        </row>
        <row r="695">
          <cell r="A695">
            <v>1201005403</v>
          </cell>
          <cell r="B695" t="str">
            <v>SINAPI - 92872 - CAIXA RETANGULAR 4" X 4" BAIXA (0,30 M DO PISO), METALICA, INSTALADA EM PAREDE - FORNECIMENTO E INSTALACAO. AF_12/2015 /UN</v>
          </cell>
          <cell r="C695">
            <v>0</v>
          </cell>
          <cell r="D695">
            <v>0</v>
          </cell>
          <cell r="E695">
            <v>9.4499999999999993</v>
          </cell>
        </row>
        <row r="696">
          <cell r="A696">
            <v>1201005404</v>
          </cell>
          <cell r="B696" t="str">
            <v>SINAPI - 92865 - CAIXA OCTOGONAL 4" X 4", METALICA, INSTALADA EM LAJE - FORNECIMENTO E INSTALACAO. AF_12/2015 /UN</v>
          </cell>
          <cell r="C696">
            <v>0</v>
          </cell>
          <cell r="D696">
            <v>0</v>
          </cell>
          <cell r="E696">
            <v>8.1199999999999992</v>
          </cell>
        </row>
        <row r="697">
          <cell r="A697">
            <v>1201005408</v>
          </cell>
          <cell r="B697" t="str">
            <v>SINAPI - 100560 - QUADRO DE DISTRIBUICAO PARA TELEFONE N.2, 20X20X12CM EM CHAPA METALICA, DE EMBUTIR, SEM ACESSORIOS, PADRAO TELEBRAS, FORNECIMENTO E INSTALACAO. AF_11/2019 /UN</v>
          </cell>
          <cell r="C697">
            <v>0</v>
          </cell>
          <cell r="D697">
            <v>0</v>
          </cell>
          <cell r="E697">
            <v>89.62</v>
          </cell>
        </row>
        <row r="698">
          <cell r="A698">
            <v>1201005410</v>
          </cell>
          <cell r="B698" t="str">
            <v>SINAPI - 100561 - QUADRO DE DISTRIBUICAO PARA TELEFONE N.3, 40X40X12CM EM CHAPA METALICA, DE EMBUTIR, SEM ACESSORIOS, PADRAO TELEBRAS, FORNECIMENTO E INSTALACAO. AF_11/2019 /UN</v>
          </cell>
          <cell r="C698">
            <v>0</v>
          </cell>
          <cell r="D698">
            <v>0</v>
          </cell>
          <cell r="E698">
            <v>166.03</v>
          </cell>
        </row>
        <row r="699">
          <cell r="A699">
            <v>1201005412</v>
          </cell>
          <cell r="B699" t="str">
            <v>SINAPI - 100562 - QUADRO DE DISTRIBUICAO PARA TELEFONE N.4, 60X60X12CM EM CHAPA METALICA, DE EMBUTIR, SEM ACESSORIOS, PADRAO TELEBRAS, FORNECIMENTO E INSTALACAO. AF_11/2019 /UN</v>
          </cell>
          <cell r="C699">
            <v>0</v>
          </cell>
          <cell r="D699">
            <v>0</v>
          </cell>
          <cell r="E699">
            <v>258.39999999999998</v>
          </cell>
        </row>
        <row r="700">
          <cell r="A700">
            <v>1201005414</v>
          </cell>
          <cell r="B700" t="str">
            <v>SINAPI - 100557 - CAIXA DE PASSAGEM PARA TELEFONE 80X80X15CM (SOBREPOR) FORNECIMENTO E INSTALACAO. AF_11/2019 /UN</v>
          </cell>
          <cell r="C700">
            <v>0</v>
          </cell>
          <cell r="D700">
            <v>0</v>
          </cell>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v>0</v>
          </cell>
          <cell r="D702">
            <v>0</v>
          </cell>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v>0</v>
          </cell>
          <cell r="D704">
            <v>0</v>
          </cell>
          <cell r="E704">
            <v>130.69999999999999</v>
          </cell>
        </row>
        <row r="705">
          <cell r="A705">
            <v>1201005426</v>
          </cell>
          <cell r="B705" t="str">
            <v>SINAPI - 97887 - CAIXA ENTERRADA ELETRICA RETANGULAR, EM ALVENARIA COM TIJOLOS CERAMICOS MACICOS, FUNDO COM BRITA, DIMENSOES INTERNAS: 0,4X0,4X0,4 M. AF_12/2020 /UN</v>
          </cell>
          <cell r="C705">
            <v>0</v>
          </cell>
          <cell r="D705">
            <v>0</v>
          </cell>
          <cell r="E705">
            <v>207.02</v>
          </cell>
        </row>
        <row r="706">
          <cell r="A706">
            <v>1201005428</v>
          </cell>
          <cell r="B706" t="str">
            <v>SINAPI - 97888 - CAIXA ENTERRADA ELETRICA RETANGULAR, EM ALVENARIA COM TIJOLOS CERAMICOS MACICOS, FUNDO COM BRITA, DIMENSOES INTERNAS: 0,6X0,6X0,6 M. AF_12/2020 /UN</v>
          </cell>
          <cell r="C706">
            <v>0</v>
          </cell>
          <cell r="D706">
            <v>0</v>
          </cell>
          <cell r="E706">
            <v>403.34</v>
          </cell>
        </row>
        <row r="707">
          <cell r="A707">
            <v>1201005438</v>
          </cell>
          <cell r="B707" t="str">
            <v>SINAPI - 97889 - CAIXA ENTERRADA ELETRICA RETANGULAR, EM ALVENARIA COM TIJOLOS CERAMICOS MACICOS, FUNDO COM BRITA, DIMENSOES INTERNAS: 0,8X0,8X0,6 M. AF_12/2020 /UN</v>
          </cell>
          <cell r="C707">
            <v>0</v>
          </cell>
          <cell r="D707">
            <v>0</v>
          </cell>
          <cell r="E707">
            <v>535.70000000000005</v>
          </cell>
        </row>
        <row r="708">
          <cell r="A708">
            <v>1201005440</v>
          </cell>
          <cell r="B708" t="str">
            <v>SINAPI - 97890 - CAIXA ENTERRADA ELETRICA RETANGULAR, EM ALVENARIA COM TIJOLOS CERAMICOS MACICOS, FUNDO COM BRITA, DIMENSOES INTERNAS: 1X1X0,6 M. AF_12/2020 /UN</v>
          </cell>
          <cell r="C708">
            <v>0</v>
          </cell>
          <cell r="D708">
            <v>0</v>
          </cell>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v>0</v>
          </cell>
          <cell r="D711">
            <v>0</v>
          </cell>
          <cell r="E711">
            <v>21.96</v>
          </cell>
        </row>
        <row r="712">
          <cell r="A712">
            <v>1201005459</v>
          </cell>
          <cell r="B712" t="str">
            <v>SINAPI - 95789 - CONDULETE DE ALUMINIO, TIPO LR, PARA ELETRODUTO DE ACO GALVANIZADO DN 25 MM (1''), APARENTE - FORNECIMENTO E INSTALACAO. AF_11/2016_P /UN</v>
          </cell>
          <cell r="C712">
            <v>0</v>
          </cell>
          <cell r="D712">
            <v>0</v>
          </cell>
          <cell r="E712">
            <v>27.52</v>
          </cell>
        </row>
        <row r="713">
          <cell r="A713">
            <v>1201005460</v>
          </cell>
          <cell r="B713" t="str">
            <v>SINAPI - 95801 - CONDULETE DE ALUMINIO, TIPO X, PARA ELETRODUTO DE ACO GALVANIZADO DN 20 MM (3/4''), APARENTE - FORNECIMENTO E INSTALACAO. AF_11/2016_P /UN</v>
          </cell>
          <cell r="C713">
            <v>0</v>
          </cell>
          <cell r="D713">
            <v>0</v>
          </cell>
          <cell r="E713">
            <v>30.58</v>
          </cell>
        </row>
        <row r="714">
          <cell r="A714">
            <v>1201005461</v>
          </cell>
          <cell r="B714" t="str">
            <v>SINAPI - 95802 - CONDULETE DE ALUMINIO, TIPO X, PARA ELETRODUTO DE ACO GALVANIZADO DN 25 MM (1''), APARENTE - FORNECIMENTO E INSTALACAO. AF_11/2016_P /UN</v>
          </cell>
          <cell r="C714">
            <v>0</v>
          </cell>
          <cell r="D714">
            <v>0</v>
          </cell>
          <cell r="E714">
            <v>34.21</v>
          </cell>
        </row>
        <row r="715">
          <cell r="A715">
            <v>0</v>
          </cell>
          <cell r="B715">
            <v>0</v>
          </cell>
          <cell r="C715">
            <v>0</v>
          </cell>
          <cell r="D715">
            <v>0</v>
          </cell>
          <cell r="E715">
            <v>0</v>
          </cell>
        </row>
        <row r="716">
          <cell r="A716">
            <v>0</v>
          </cell>
          <cell r="B716" t="str">
            <v>*  PARA-RAIO</v>
          </cell>
          <cell r="C716">
            <v>0</v>
          </cell>
          <cell r="D716">
            <v>0</v>
          </cell>
          <cell r="E716">
            <v>0</v>
          </cell>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v>0</v>
          </cell>
          <cell r="D720">
            <v>0</v>
          </cell>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v>0</v>
          </cell>
          <cell r="D722">
            <v>0</v>
          </cell>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v>0</v>
          </cell>
          <cell r="D724">
            <v>0</v>
          </cell>
          <cell r="E724">
            <v>125.5</v>
          </cell>
        </row>
        <row r="725">
          <cell r="A725">
            <v>1201006018</v>
          </cell>
          <cell r="B725" t="str">
            <v>SINAPI - 98463 - SUPORTE ISOLADOR PARA CORDOALHA DE COBRE - FORNECIMENTO E INSTALACAO. AF_12/2017 /UN</v>
          </cell>
          <cell r="C725">
            <v>0</v>
          </cell>
          <cell r="D725">
            <v>0</v>
          </cell>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v>0</v>
          </cell>
          <cell r="D729">
            <v>0</v>
          </cell>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v>0</v>
          </cell>
          <cell r="B734">
            <v>0</v>
          </cell>
          <cell r="C734">
            <v>0</v>
          </cell>
          <cell r="D734">
            <v>0</v>
          </cell>
          <cell r="E734">
            <v>0</v>
          </cell>
        </row>
        <row r="735">
          <cell r="A735">
            <v>0</v>
          </cell>
          <cell r="B735" t="str">
            <v>*  DIVERSOS</v>
          </cell>
          <cell r="C735">
            <v>0</v>
          </cell>
          <cell r="D735">
            <v>0</v>
          </cell>
          <cell r="E735">
            <v>0</v>
          </cell>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v>0</v>
          </cell>
          <cell r="D760">
            <v>0</v>
          </cell>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v>0</v>
          </cell>
          <cell r="B790">
            <v>0</v>
          </cell>
          <cell r="C790">
            <v>0</v>
          </cell>
          <cell r="D790">
            <v>0</v>
          </cell>
          <cell r="E790">
            <v>0</v>
          </cell>
        </row>
        <row r="791">
          <cell r="A791">
            <v>0</v>
          </cell>
          <cell r="B791" t="str">
            <v>*  SUBSTACAO E ACESSORIOS</v>
          </cell>
          <cell r="C791">
            <v>0</v>
          </cell>
          <cell r="D791">
            <v>0</v>
          </cell>
          <cell r="E791">
            <v>0</v>
          </cell>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v>0</v>
          </cell>
          <cell r="D810">
            <v>0</v>
          </cell>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v>0</v>
          </cell>
          <cell r="D811">
            <v>0</v>
          </cell>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v>0</v>
          </cell>
          <cell r="D812">
            <v>0</v>
          </cell>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v>0</v>
          </cell>
          <cell r="D813">
            <v>0</v>
          </cell>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v>0</v>
          </cell>
          <cell r="D815">
            <v>0</v>
          </cell>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v>0</v>
          </cell>
          <cell r="D816">
            <v>0</v>
          </cell>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v>0</v>
          </cell>
          <cell r="D817">
            <v>0</v>
          </cell>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v>0</v>
          </cell>
          <cell r="D838">
            <v>0</v>
          </cell>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v>0</v>
          </cell>
          <cell r="D938">
            <v>188.8</v>
          </cell>
          <cell r="E938">
            <v>188.8</v>
          </cell>
        </row>
        <row r="939">
          <cell r="A939">
            <v>1201008472</v>
          </cell>
          <cell r="B939" t="str">
            <v>MAO DE OBRA EM SERVICOS DE ILUMINACAO PUBLICA ORNAMENTAL EM POSTE DE ATE 13 A 19M /UN</v>
          </cell>
          <cell r="C939">
            <v>0</v>
          </cell>
          <cell r="D939">
            <v>283.19</v>
          </cell>
          <cell r="E939">
            <v>283.19</v>
          </cell>
        </row>
        <row r="940">
          <cell r="A940">
            <v>0</v>
          </cell>
          <cell r="B940">
            <v>0</v>
          </cell>
          <cell r="C940">
            <v>0</v>
          </cell>
          <cell r="D940">
            <v>0</v>
          </cell>
          <cell r="E940">
            <v>0</v>
          </cell>
        </row>
        <row r="941">
          <cell r="A941">
            <v>0</v>
          </cell>
          <cell r="B941" t="str">
            <v>*  PADRAO E ACESSORIOS</v>
          </cell>
          <cell r="C941">
            <v>0</v>
          </cell>
          <cell r="D941">
            <v>0</v>
          </cell>
          <cell r="E941">
            <v>0</v>
          </cell>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v>0</v>
          </cell>
          <cell r="D965">
            <v>0</v>
          </cell>
          <cell r="E965">
            <v>69.58</v>
          </cell>
        </row>
        <row r="966">
          <cell r="A966">
            <v>1201009065</v>
          </cell>
          <cell r="B966" t="str">
            <v>SINAPI - 101540 - ARMACAO SECUNDARIA, COM 3 ESTRIBOS E 3 ISOLADORES - FORNECIMENTO E INSTALACAO. AF_07/2020 /UN</v>
          </cell>
          <cell r="C966">
            <v>0</v>
          </cell>
          <cell r="D966">
            <v>0</v>
          </cell>
          <cell r="E966">
            <v>119.45</v>
          </cell>
        </row>
        <row r="967">
          <cell r="A967">
            <v>1201009066</v>
          </cell>
          <cell r="B967" t="str">
            <v>SINAPI - 101541 - ARMACAO SECUNDARIA, COM 4 ESTRIBOS E 4 ISOLADORES - FORNECIMENTO E INSTALACAO. AF_07/2020 /UN</v>
          </cell>
          <cell r="C967">
            <v>0</v>
          </cell>
          <cell r="D967">
            <v>0</v>
          </cell>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v>0</v>
          </cell>
          <cell r="B979" t="str">
            <v>*  AGUA FRIA</v>
          </cell>
          <cell r="C979">
            <v>0</v>
          </cell>
          <cell r="D979">
            <v>0</v>
          </cell>
          <cell r="E979">
            <v>0</v>
          </cell>
        </row>
        <row r="980">
          <cell r="A980">
            <v>1301001000</v>
          </cell>
          <cell r="B980" t="str">
            <v>SINAPI - 90443 - RASGO EM ALVENARIA PARA RAMAIS/ DISTRIBUICAO COM DIAMETROS MENORES OU IGUAIS A 40 MM. AF_05/2015 /M</v>
          </cell>
          <cell r="C980">
            <v>0</v>
          </cell>
          <cell r="D980">
            <v>0</v>
          </cell>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v>0</v>
          </cell>
          <cell r="D996">
            <v>0</v>
          </cell>
          <cell r="E996">
            <v>12.9</v>
          </cell>
        </row>
        <row r="997">
          <cell r="A997">
            <v>1301001074</v>
          </cell>
          <cell r="B997" t="str">
            <v>SINAPI - 90373 - JOELHO 90 GRAUS COM BUCHA DE LATAO, PVC, SOLDAVEL, DN 25MM, X 1/2" INSTALADO EM RAMAL OU SUB-RAMAL DE AGUA - FORNECIMENTO E INSTALACAO. AF_12/2014 /UN</v>
          </cell>
          <cell r="C997">
            <v>0</v>
          </cell>
          <cell r="D997">
            <v>0</v>
          </cell>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v>0</v>
          </cell>
          <cell r="D999">
            <v>0</v>
          </cell>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v>0</v>
          </cell>
          <cell r="D1002">
            <v>0</v>
          </cell>
          <cell r="E1002">
            <v>16.559999999999999</v>
          </cell>
        </row>
        <row r="1003">
          <cell r="A1003">
            <v>1301001086</v>
          </cell>
          <cell r="B1003" t="str">
            <v>SINAPI - 89399 - TE COM BUCHA DE LATAO NA BOLSA CENTRAL, PVC, SOLDAVEL, DN 32MM X 3/4", INSTALADO EM RAMAL OU SUB-RAMAL DE AGUA - FORNECIMENTO E INSTALACAO. AF_12/2014 /UN</v>
          </cell>
          <cell r="C1003">
            <v>0</v>
          </cell>
          <cell r="D1003">
            <v>0</v>
          </cell>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v>0</v>
          </cell>
          <cell r="D1004">
            <v>0</v>
          </cell>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v>0</v>
          </cell>
          <cell r="D1005">
            <v>0</v>
          </cell>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v>0</v>
          </cell>
          <cell r="D1006">
            <v>0</v>
          </cell>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v>0</v>
          </cell>
          <cell r="D1007">
            <v>0</v>
          </cell>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v>0</v>
          </cell>
          <cell r="D1008">
            <v>0</v>
          </cell>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v>0</v>
          </cell>
          <cell r="D1009">
            <v>0</v>
          </cell>
          <cell r="E1009">
            <v>189.86</v>
          </cell>
        </row>
        <row r="1010">
          <cell r="A1010">
            <v>1301001099</v>
          </cell>
          <cell r="B1010" t="str">
            <v>SINAPI - 89383 - ADAPTADOR CURTO COM BOLSA E ROSCA PARA REGISTRO, PVC, SOLDAVEL, DN 25MM X 3/4", INSTALADO EM RAMAL OU SUB-RAMAL DE AGUA - FORNECIMENTO E INSTALACAO. AF_12/2014 /UN</v>
          </cell>
          <cell r="C1010">
            <v>0</v>
          </cell>
          <cell r="D1010">
            <v>0</v>
          </cell>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v>0</v>
          </cell>
          <cell r="D1011">
            <v>0</v>
          </cell>
          <cell r="E1011">
            <v>5.4</v>
          </cell>
        </row>
        <row r="1012">
          <cell r="A1012">
            <v>1301001101</v>
          </cell>
          <cell r="B1012" t="str">
            <v>SINAPI - 89596 - ADAPTADOR CURTO COM BOLSA E ROSCA PARA REGISTRO, PVC, SOLDAVEL, DN 50MM X 1.1/2", INSTALADO EM PRUMADA DE AGUA - FORNECIMENTO E INSTALACAO. AF_12/2014 /UN</v>
          </cell>
          <cell r="C1012">
            <v>0</v>
          </cell>
          <cell r="D1012">
            <v>0</v>
          </cell>
          <cell r="E1012">
            <v>9.3000000000000007</v>
          </cell>
        </row>
        <row r="1013">
          <cell r="A1013">
            <v>1301001102</v>
          </cell>
          <cell r="B1013" t="str">
            <v>SINAPI - 89385 - LUVA SOLDAVEL E COM ROSCA, PVC, SOLDAVEL, DN 25MM X 3/4", INSTALADO EM RAMAL OU SUB-RAMAL DE AGUA - FORNECIMENTO E INSTALACAO. AF_12/2014 /UN</v>
          </cell>
          <cell r="C1013">
            <v>0</v>
          </cell>
          <cell r="D1013">
            <v>0</v>
          </cell>
          <cell r="E1013">
            <v>5.8</v>
          </cell>
        </row>
        <row r="1014">
          <cell r="A1014">
            <v>1301001105</v>
          </cell>
          <cell r="B1014" t="str">
            <v>SINAPI - 99620 - VALVULA DE RETENCAO HORIZONTAL, DE BRONZE, ROSCAVEL, 1" - FORNECIMENTO E INSTALACAO. AF_01/2019 /UN</v>
          </cell>
          <cell r="C1014">
            <v>0</v>
          </cell>
          <cell r="D1014">
            <v>0</v>
          </cell>
          <cell r="E1014">
            <v>108.95</v>
          </cell>
        </row>
        <row r="1015">
          <cell r="A1015">
            <v>1301001107</v>
          </cell>
          <cell r="B1015" t="str">
            <v>SINAPI - 99621 - VALVULA DE RETENCAO HORIZONTAL, DE BRONZE, ROSCAVEL, 1 1/4" - FORNECIMENTO E INSTALACAO. AF_01/2019 /UN</v>
          </cell>
          <cell r="C1015">
            <v>0</v>
          </cell>
          <cell r="D1015">
            <v>0</v>
          </cell>
          <cell r="E1015">
            <v>151.68</v>
          </cell>
        </row>
        <row r="1016">
          <cell r="A1016">
            <v>1301001108</v>
          </cell>
          <cell r="B1016" t="str">
            <v>SINAPI - 99622 - VALVULA DE RETENCAO HORIZONTAL, DE BRONZE, ROSCAVEL, 1 1/2"  - FORNECIMENTO E INSTALACAO. AF_01/2019 /UN</v>
          </cell>
          <cell r="C1016">
            <v>0</v>
          </cell>
          <cell r="D1016">
            <v>0</v>
          </cell>
          <cell r="E1016">
            <v>166.6</v>
          </cell>
        </row>
        <row r="1017">
          <cell r="A1017">
            <v>1301001109</v>
          </cell>
          <cell r="B1017" t="str">
            <v>SINAPI - 99623 - VALVULA DE RETENCAO HORIZONTAL, DE BRONZE, ROSCAVEL, 2"  - FORNECIMENTO E INSTALACAO. AF_01/2019 /UN</v>
          </cell>
          <cell r="C1017">
            <v>0</v>
          </cell>
          <cell r="D1017">
            <v>0</v>
          </cell>
          <cell r="E1017">
            <v>224.66</v>
          </cell>
        </row>
        <row r="1018">
          <cell r="A1018">
            <v>1301001110</v>
          </cell>
          <cell r="B1018" t="str">
            <v>SINAPI - 99624 - VALVULA DE RETENCAO HORIZONTAL, DE BRONZE, ROSCAVEL, 2 1/2" - FORNECIMENTO E INSTALACAO. AF_01/2019 /UN</v>
          </cell>
          <cell r="C1018">
            <v>0</v>
          </cell>
          <cell r="D1018">
            <v>0</v>
          </cell>
          <cell r="E1018">
            <v>310.10000000000002</v>
          </cell>
        </row>
        <row r="1019">
          <cell r="A1019">
            <v>1301001111</v>
          </cell>
          <cell r="B1019" t="str">
            <v>SINAPI - 99625 - VALVULA DE RETENCAO HORIZONTAL, DE BRONZE, ROSCAVEL, 3" - FORNECIMENTO E INSTALACAO. AF_01/2019 /UN</v>
          </cell>
          <cell r="C1019">
            <v>0</v>
          </cell>
          <cell r="D1019">
            <v>0</v>
          </cell>
          <cell r="E1019">
            <v>419.59</v>
          </cell>
        </row>
        <row r="1020">
          <cell r="A1020">
            <v>1301001115</v>
          </cell>
          <cell r="B1020" t="str">
            <v>SINAPI - 89610 - ADAPTADOR CURTO COM BOLSA E ROSCA PARA REGISTRO, PVC, SOLDAVEL, DN 60MM X 2", INSTALADO EM PRUMADA DE AGUA - FORNECIMENTO E INSTALACAO. AF_12/2014 /UN</v>
          </cell>
          <cell r="C1020">
            <v>0</v>
          </cell>
          <cell r="D1020">
            <v>0</v>
          </cell>
          <cell r="E1020">
            <v>18.14</v>
          </cell>
        </row>
        <row r="1021">
          <cell r="A1021">
            <v>1301001116</v>
          </cell>
          <cell r="B1021" t="str">
            <v>SINAPI - 89613 - ADAPTADOR CURTO COM BOLSA E ROSCA PARA REGISTRO, PVC, SOLDAVEL, DN 75MM X 2.1/2", INSTALADO EM PRUMADA DE AGUA - FORNECIMENTO E INSTALACAO. AF_12/2014 /UN</v>
          </cell>
          <cell r="C1021">
            <v>0</v>
          </cell>
          <cell r="D1021">
            <v>0</v>
          </cell>
          <cell r="E1021">
            <v>26.67</v>
          </cell>
        </row>
        <row r="1022">
          <cell r="A1022">
            <v>1301001117</v>
          </cell>
          <cell r="B1022" t="str">
            <v>SINAPI - 89616 - ADAPTADOR CURTO COM BOLSA E ROSCA PARA REGISTRO, PVC, SOLDAVEL, DN 85MM X 3", INSTALADO EM PRUMADA DE AGUA - FORNECIMENTO E INSTALACAO. AF_12/2014 /UN</v>
          </cell>
          <cell r="C1022">
            <v>0</v>
          </cell>
          <cell r="D1022">
            <v>0</v>
          </cell>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v>0</v>
          </cell>
          <cell r="D1023">
            <v>0</v>
          </cell>
          <cell r="E1023">
            <v>66.52</v>
          </cell>
        </row>
        <row r="1024">
          <cell r="A1024">
            <v>1301001120</v>
          </cell>
          <cell r="B1024" t="str">
            <v>SINAPI - 99629 - VALVULA DE RETENCAO VERTICAL, DE BRONZE, ROSCAVEL, 1" - FORNECIMENTO E INSTALACAO. AF_01/2019 /UN</v>
          </cell>
          <cell r="C1024">
            <v>0</v>
          </cell>
          <cell r="D1024">
            <v>0</v>
          </cell>
          <cell r="E1024">
            <v>67.87</v>
          </cell>
        </row>
        <row r="1025">
          <cell r="A1025">
            <v>1301001121</v>
          </cell>
          <cell r="B1025" t="str">
            <v>SINAPI - 99630 - VALVULA DE RETENCAO VERTICAL, DE BRONZE, ROSCAVEL, 1 1/4" - FORNECIMENTO E INSTALACAO. AF_01/2019 /UN</v>
          </cell>
          <cell r="C1025">
            <v>0</v>
          </cell>
          <cell r="D1025">
            <v>0</v>
          </cell>
          <cell r="E1025">
            <v>90.32</v>
          </cell>
        </row>
        <row r="1026">
          <cell r="A1026">
            <v>1301001122</v>
          </cell>
          <cell r="B1026" t="str">
            <v>SINAPI - 99631 - VALVULA DE RETENCAO VERTICAL, DE BRONZE, ROSCAVEL, 1 1/2" - FORNECIMENTO E INSTALACAO. AF_01/2019 /UN</v>
          </cell>
          <cell r="C1026">
            <v>0</v>
          </cell>
          <cell r="D1026">
            <v>0</v>
          </cell>
          <cell r="E1026">
            <v>100.29</v>
          </cell>
        </row>
        <row r="1027">
          <cell r="A1027">
            <v>1301001123</v>
          </cell>
          <cell r="B1027" t="str">
            <v>SINAPI - 99632 - VALVULA DE RETENCAO VERTICAL, DE BRONZE, ROSCAVEL, 2" - FORNECIMENTO E INSTALACAO. AF_01/2019 /UN</v>
          </cell>
          <cell r="C1027">
            <v>0</v>
          </cell>
          <cell r="D1027">
            <v>0</v>
          </cell>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v>0</v>
          </cell>
          <cell r="D1029">
            <v>0</v>
          </cell>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v>0</v>
          </cell>
          <cell r="D1044">
            <v>0</v>
          </cell>
          <cell r="E1044">
            <v>610.29999999999995</v>
          </cell>
        </row>
        <row r="1045">
          <cell r="A1045">
            <v>1301001184</v>
          </cell>
          <cell r="B1045" t="str">
            <v>SINAPI - 88503 - CAIXA D´AGUA EM POLIETILENO, 1000 LITROS, COM ACESSORIOS /UN</v>
          </cell>
          <cell r="C1045">
            <v>0</v>
          </cell>
          <cell r="D1045">
            <v>0</v>
          </cell>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v>0</v>
          </cell>
          <cell r="D1050">
            <v>0</v>
          </cell>
          <cell r="E1050">
            <v>32.14</v>
          </cell>
        </row>
        <row r="1051">
          <cell r="A1051">
            <v>1301001211</v>
          </cell>
          <cell r="B1051" t="str">
            <v>SINAPI - 94797 - TORNEIRA DE BOIA, ROSCAVEL, 1", FORNECIDA E INSTALADA EM RESERVACAO DE AGUA. AF_06/2016 /UN</v>
          </cell>
          <cell r="C1051">
            <v>0</v>
          </cell>
          <cell r="D1051">
            <v>0</v>
          </cell>
          <cell r="E1051">
            <v>49.39</v>
          </cell>
        </row>
        <row r="1052">
          <cell r="A1052">
            <v>1301001212</v>
          </cell>
          <cell r="B1052" t="str">
            <v>SINAPI - 102137 - CHAVE DE BOIA AUTOMATICA SUPERIOR/INFERIOR 15A/250V - FORNECIMENTO E INSTALACAO. AF_12/2020 /UN</v>
          </cell>
          <cell r="C1052">
            <v>0</v>
          </cell>
          <cell r="D1052">
            <v>0</v>
          </cell>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v>0</v>
          </cell>
          <cell r="B1059">
            <v>0</v>
          </cell>
          <cell r="C1059">
            <v>0</v>
          </cell>
          <cell r="D1059">
            <v>0</v>
          </cell>
          <cell r="E1059">
            <v>0</v>
          </cell>
        </row>
        <row r="1060">
          <cell r="A1060">
            <v>0</v>
          </cell>
          <cell r="B1060" t="str">
            <v>*  LOUCAS</v>
          </cell>
          <cell r="C1060">
            <v>0</v>
          </cell>
          <cell r="D1060">
            <v>0</v>
          </cell>
          <cell r="E1060">
            <v>0</v>
          </cell>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v>0</v>
          </cell>
          <cell r="D1062">
            <v>0</v>
          </cell>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v>0</v>
          </cell>
          <cell r="D1063">
            <v>0</v>
          </cell>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v>0</v>
          </cell>
          <cell r="D1066">
            <v>0</v>
          </cell>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v>0</v>
          </cell>
          <cell r="D1068">
            <v>0</v>
          </cell>
          <cell r="E1068">
            <v>64.86</v>
          </cell>
        </row>
        <row r="1069">
          <cell r="A1069">
            <v>1301002013</v>
          </cell>
          <cell r="B1069" t="str">
            <v>SINAPI - 100858 - MICTORIO SIFONADO LOUCA BRANCA PADRAO MEDIO FORNECIMENTO E INSTALACAO. AF_01/2020 /UN</v>
          </cell>
          <cell r="C1069">
            <v>0</v>
          </cell>
          <cell r="D1069">
            <v>0</v>
          </cell>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v>0</v>
          </cell>
          <cell r="D1072">
            <v>0</v>
          </cell>
          <cell r="E1072">
            <v>181.16</v>
          </cell>
        </row>
        <row r="1073">
          <cell r="A1073">
            <v>1301002022</v>
          </cell>
          <cell r="B1073" t="str">
            <v>SINAPI - 86938 - CUBA DE EMBUTIR OVAL EM LOUCA BRANCA, 35 X 50CM OU EQUIVALENTE, INCLUSO VALVULA E SIFAO TIPO GARRAFA EM METAL CROMADO - FORNECIMENTO E INSTALACAO. AF_01/2020 /UN</v>
          </cell>
          <cell r="C1073">
            <v>0</v>
          </cell>
          <cell r="D1073">
            <v>0</v>
          </cell>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v>0</v>
          </cell>
          <cell r="D1074">
            <v>0</v>
          </cell>
          <cell r="E1074">
            <v>747.55</v>
          </cell>
        </row>
        <row r="1075">
          <cell r="A1075">
            <v>1301002026</v>
          </cell>
          <cell r="B1075" t="str">
            <v>SINAPI - 100855 - SABONETEIRA DE PAREDE EM PLASTICO ABS COM ACABAMENTO CROMADO E ACRILICO, INCLUSO FIXACAO. AF_01/2020 /UN</v>
          </cell>
          <cell r="C1075">
            <v>0</v>
          </cell>
          <cell r="D1075">
            <v>0</v>
          </cell>
          <cell r="E1075">
            <v>29.42</v>
          </cell>
        </row>
        <row r="1076">
          <cell r="A1076">
            <v>1301002029</v>
          </cell>
          <cell r="B1076" t="str">
            <v>SINAPI - 95544 - PAPELEIRA DE PAREDE EM METAL CROMADO SEM TAMPA, INCLUSO FIXACAO. AF_01/2020 /UN</v>
          </cell>
          <cell r="C1076">
            <v>0</v>
          </cell>
          <cell r="D1076">
            <v>0</v>
          </cell>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v>0</v>
          </cell>
          <cell r="D1078">
            <v>0</v>
          </cell>
          <cell r="E1078">
            <v>41.3</v>
          </cell>
        </row>
        <row r="1079">
          <cell r="A1079">
            <v>0</v>
          </cell>
          <cell r="B1079">
            <v>0</v>
          </cell>
          <cell r="C1079">
            <v>0</v>
          </cell>
          <cell r="D1079">
            <v>0</v>
          </cell>
          <cell r="E1079">
            <v>0</v>
          </cell>
        </row>
        <row r="1080">
          <cell r="A1080">
            <v>0</v>
          </cell>
          <cell r="B1080" t="str">
            <v>*  TORNEIRAS E REGISTROS</v>
          </cell>
          <cell r="C1080">
            <v>0</v>
          </cell>
          <cell r="D1080">
            <v>0</v>
          </cell>
          <cell r="E1080">
            <v>0</v>
          </cell>
        </row>
        <row r="1081">
          <cell r="A1081">
            <v>1301003000</v>
          </cell>
          <cell r="B1081" t="str">
            <v>SINAPI - 86906 - TORNEIRA CROMADA DE MESA, 1/2ö OU 3/4ö, PARA LAVATORIO, PADRAO POPULAR - FORNECIMENTO E INSTALACAO. AF_01/2020 /UN</v>
          </cell>
          <cell r="C1081">
            <v>0</v>
          </cell>
          <cell r="D1081">
            <v>0</v>
          </cell>
          <cell r="E1081">
            <v>44.13</v>
          </cell>
        </row>
        <row r="1082">
          <cell r="A1082">
            <v>1301003004</v>
          </cell>
          <cell r="B1082" t="str">
            <v>SINAPI - 86915 - TORNEIRA CROMADA DE MESA, 1/2" OU 3/4", PARA LAVATORIO, PADRAO MEDIO - FORNECIMENTO E INSTALACAO. AF_01/2020 /UN</v>
          </cell>
          <cell r="C1082">
            <v>0</v>
          </cell>
          <cell r="D1082">
            <v>0</v>
          </cell>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v>0</v>
          </cell>
          <cell r="D1085">
            <v>0</v>
          </cell>
          <cell r="E1085">
            <v>88.31</v>
          </cell>
        </row>
        <row r="1086">
          <cell r="A1086">
            <v>1301003030</v>
          </cell>
          <cell r="B1086" t="str">
            <v>SINAPI - 86910 - TORNEIRA CROMADA TUBO MOVEL, DE PAREDE, 1/2 OU 3/4, PARA PIA DE COZINHA, PADRAO MEDIO - FORNECIMENTO E INSTALACAO. AF_01/2020 /UN</v>
          </cell>
          <cell r="C1086">
            <v>0</v>
          </cell>
          <cell r="D1086">
            <v>0</v>
          </cell>
          <cell r="E1086">
            <v>83.37</v>
          </cell>
        </row>
        <row r="1087">
          <cell r="A1087">
            <v>1301003050</v>
          </cell>
          <cell r="B1087" t="str">
            <v>SINAPI - 86914 - TORNEIRA CROMADA 1/2 OU 3/4 PARA TANQUE, PADRAO MEDIO - FORNECIMENTO E INSTALACAO. AF_01/2020 /UN</v>
          </cell>
          <cell r="C1087">
            <v>0</v>
          </cell>
          <cell r="D1087">
            <v>0</v>
          </cell>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v>0</v>
          </cell>
          <cell r="D1095">
            <v>0</v>
          </cell>
          <cell r="E1095">
            <v>24.26</v>
          </cell>
        </row>
        <row r="1096">
          <cell r="A1096">
            <v>1301003209</v>
          </cell>
          <cell r="B1096" t="str">
            <v>SINAPI - 89984 - REGISTRO DE PRESSAO BRUTO, LATAO, ROSCAVEL, 1/2", COM ACABAMENTO E CANOPLA CROMADOS. FORNECIDO E INSTALADO EM RAMAL DE AGUA. AF_12/2014 /UN</v>
          </cell>
          <cell r="C1096">
            <v>0</v>
          </cell>
          <cell r="D1096">
            <v>0</v>
          </cell>
          <cell r="E1096">
            <v>58.15</v>
          </cell>
        </row>
        <row r="1097">
          <cell r="A1097">
            <v>1301003220</v>
          </cell>
          <cell r="B1097" t="str">
            <v>SINAPI - 89985 - REGISTRO DE PRESSAO BRUTO, LATAO, ROSCAVEL, 3/4", COM ACABAMENTO E CANOPLA CROMADOS. FORNECIDO E INSTALADO EM RAMAL DE AGUA. AF_12/2014 /UN</v>
          </cell>
          <cell r="C1097">
            <v>0</v>
          </cell>
          <cell r="D1097">
            <v>0</v>
          </cell>
          <cell r="E1097">
            <v>59.82</v>
          </cell>
        </row>
        <row r="1098">
          <cell r="A1098">
            <v>1301003230</v>
          </cell>
          <cell r="B1098" t="str">
            <v>SINAPI - 89987 - REGISTRO DE GAVETA BRUTO, LATAO, ROSCAVEL, 3/4", COM ACABAMENTO E CANOPLA CROMADOS. FORNECIDO E INSTALADO EM RAMAL DE AGUA. AF_12/2014 /UN</v>
          </cell>
          <cell r="C1098">
            <v>0</v>
          </cell>
          <cell r="D1098">
            <v>0</v>
          </cell>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v>0</v>
          </cell>
          <cell r="D1099">
            <v>0</v>
          </cell>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v>0</v>
          </cell>
          <cell r="D1100">
            <v>0</v>
          </cell>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v>0</v>
          </cell>
          <cell r="D1101">
            <v>0</v>
          </cell>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v>0</v>
          </cell>
          <cell r="D1102">
            <v>0</v>
          </cell>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v>0</v>
          </cell>
          <cell r="D1103">
            <v>0</v>
          </cell>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v>0</v>
          </cell>
          <cell r="D1104">
            <v>0</v>
          </cell>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v>0</v>
          </cell>
          <cell r="D1105">
            <v>0</v>
          </cell>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v>0</v>
          </cell>
          <cell r="D1106">
            <v>0</v>
          </cell>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v>0</v>
          </cell>
          <cell r="D1107">
            <v>0</v>
          </cell>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v>0</v>
          </cell>
          <cell r="D1108">
            <v>0</v>
          </cell>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v>0</v>
          </cell>
          <cell r="D1109">
            <v>0</v>
          </cell>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v>0</v>
          </cell>
          <cell r="D1110">
            <v>0</v>
          </cell>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v>0</v>
          </cell>
          <cell r="D1111">
            <v>0</v>
          </cell>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v>0</v>
          </cell>
          <cell r="D1112">
            <v>0</v>
          </cell>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v>0</v>
          </cell>
          <cell r="D1113">
            <v>0</v>
          </cell>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v>0</v>
          </cell>
          <cell r="B1115">
            <v>0</v>
          </cell>
          <cell r="C1115">
            <v>0</v>
          </cell>
          <cell r="D1115">
            <v>0</v>
          </cell>
          <cell r="E1115">
            <v>0</v>
          </cell>
        </row>
        <row r="1116">
          <cell r="A1116">
            <v>0</v>
          </cell>
          <cell r="B1116" t="str">
            <v>*  DIVERSOS</v>
          </cell>
          <cell r="C1116">
            <v>0</v>
          </cell>
          <cell r="D1116">
            <v>0</v>
          </cell>
          <cell r="E1116">
            <v>0</v>
          </cell>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v>0</v>
          </cell>
          <cell r="D1118">
            <v>0</v>
          </cell>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v>0</v>
          </cell>
          <cell r="D1127">
            <v>0</v>
          </cell>
          <cell r="E1127">
            <v>16.95</v>
          </cell>
        </row>
        <row r="1128">
          <cell r="A1128">
            <v>1301004045</v>
          </cell>
          <cell r="B1128" t="str">
            <v>SINAPI - 86881 - SIFAO DO TIPO GARRAFA EM METAL CROMADO 1 X 1.1/2ö - FORNECIMENTO E INSTALACAO. AF_01/2020 /UN</v>
          </cell>
          <cell r="C1128">
            <v>0</v>
          </cell>
          <cell r="D1128">
            <v>0</v>
          </cell>
          <cell r="E1128">
            <v>188.86</v>
          </cell>
        </row>
        <row r="1129">
          <cell r="A1129">
            <v>1301004050</v>
          </cell>
          <cell r="B1129" t="str">
            <v>SINAPI - 86936 - CUBA DE EMBUTIR DE ACO INOXIDAVEL MEDIA, INCLUSO VALVULA TIPO AMERICANA E SIFAO TIPO GARRAFA EM METAL CROMADO - FORNECIMENTO E INSTALACAO. AF_01/2020 /UN</v>
          </cell>
          <cell r="C1129">
            <v>0</v>
          </cell>
          <cell r="D1129">
            <v>0</v>
          </cell>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v>0</v>
          </cell>
          <cell r="D1131">
            <v>0</v>
          </cell>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v>0</v>
          </cell>
          <cell r="D1133">
            <v>0</v>
          </cell>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v>0</v>
          </cell>
          <cell r="D1135">
            <v>0</v>
          </cell>
          <cell r="E1135">
            <v>54.32</v>
          </cell>
        </row>
        <row r="1136">
          <cell r="A1136">
            <v>1301004070</v>
          </cell>
          <cell r="B1136" t="str">
            <v>SINAPI - 100860 - CHUVEIRO ELETRICO COMUM CORPO PLASTICO, TIPO DUCHA FORNECIMENTO E INSTALACAO. AF_01/2020 /UN</v>
          </cell>
          <cell r="C1136">
            <v>0</v>
          </cell>
          <cell r="D1136">
            <v>0</v>
          </cell>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v>0</v>
          </cell>
          <cell r="B1148">
            <v>0</v>
          </cell>
          <cell r="C1148">
            <v>0</v>
          </cell>
          <cell r="D1148">
            <v>0</v>
          </cell>
          <cell r="E1148">
            <v>0</v>
          </cell>
        </row>
        <row r="1149">
          <cell r="A1149">
            <v>0</v>
          </cell>
          <cell r="B1149" t="str">
            <v>*  ESGOTO</v>
          </cell>
          <cell r="C1149">
            <v>0</v>
          </cell>
          <cell r="D1149">
            <v>0</v>
          </cell>
          <cell r="E1149">
            <v>0</v>
          </cell>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v>0</v>
          </cell>
          <cell r="D1157">
            <v>0</v>
          </cell>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v>0</v>
          </cell>
          <cell r="D1158">
            <v>0</v>
          </cell>
          <cell r="E1158">
            <v>8.77</v>
          </cell>
        </row>
        <row r="1159">
          <cell r="A1159">
            <v>1301005015</v>
          </cell>
          <cell r="B1159" t="str">
            <v>SINAPI - 89726 - JOELHO 45 GRAUS, PVC, SERIE NORMAL, ESGOTO PREDIAL, DN 40 MM, JUNTA SOLDAVEL, FORNECIDO E INSTALADO EM RAMAL DE DESCARGA OU RAMAL DE ESGOTO SANITARIO. AF_12/2014 /UN</v>
          </cell>
          <cell r="C1159">
            <v>0</v>
          </cell>
          <cell r="D1159">
            <v>0</v>
          </cell>
          <cell r="E1159">
            <v>5.59</v>
          </cell>
        </row>
        <row r="1160">
          <cell r="A1160">
            <v>1301005016</v>
          </cell>
          <cell r="B1160" t="str">
            <v>SINAPI - 89724 - JOELHO 90 GRAUS, PVC, SERIE NORMAL, ESGOTO PREDIAL, DN 40 MM, JUNTA SOLDAVEL, FORNECIDO E INSTALADO EM RAMAL DE DESCARGA OU RAMAL DE ESGOTO SANITARIO. AF_12/2014 /UN</v>
          </cell>
          <cell r="C1160">
            <v>0</v>
          </cell>
          <cell r="D1160">
            <v>0</v>
          </cell>
          <cell r="E1160">
            <v>7.61</v>
          </cell>
        </row>
        <row r="1161">
          <cell r="A1161">
            <v>1301005017</v>
          </cell>
          <cell r="B1161" t="str">
            <v>SINAPI - 89783 - JUNCAO SIMPLES, PVC, SERIE NORMAL, ESGOTO PREDIAL, DN 40 MM, JUNTA SOLDAVEL, FORNECIDO E INSTALADO EM RAMAL DE DESCARGA OU RAMAL DE ESGOTO SANITARIO. AF_12/2014 /UN</v>
          </cell>
          <cell r="C1161">
            <v>0</v>
          </cell>
          <cell r="D1161">
            <v>0</v>
          </cell>
          <cell r="E1161">
            <v>9.26</v>
          </cell>
        </row>
        <row r="1162">
          <cell r="A1162">
            <v>1301005018</v>
          </cell>
          <cell r="B1162" t="str">
            <v>SINAPI - 89752 - LUVA SIMPLES, PVC, SERIE NORMAL, ESGOTO PREDIAL, DN 40 MM, JUNTA SOLDAVEL, FORNECIDO E INSTALADO EM RAMAL DE DESCARGA OU RAMAL DE ESGOTO SANITARIO. AF_12/2014 /UN</v>
          </cell>
          <cell r="C1162">
            <v>0</v>
          </cell>
          <cell r="D1162">
            <v>0</v>
          </cell>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v>0</v>
          </cell>
          <cell r="D1163">
            <v>0</v>
          </cell>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v>0</v>
          </cell>
          <cell r="D1164">
            <v>0</v>
          </cell>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v>0</v>
          </cell>
          <cell r="D1166">
            <v>0</v>
          </cell>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v>0</v>
          </cell>
          <cell r="D1170">
            <v>0</v>
          </cell>
          <cell r="E1170">
            <v>11.29</v>
          </cell>
        </row>
        <row r="1171">
          <cell r="A1171">
            <v>1301005058</v>
          </cell>
          <cell r="B1171" t="str">
            <v>SINAPI - 89807 - CURVA CURTA 90 GRAUS, PVC, SERIE NORMAL, ESGOTO PREDIAL, DN 75 MM, JUNTA ELASTICA, FORNECIDO E INSTALADO EM PRUMADA DE ESGOTO SANITARIO OU VENTILACAO. AF_12/2014 /UN</v>
          </cell>
          <cell r="C1171">
            <v>0</v>
          </cell>
          <cell r="D1171">
            <v>0</v>
          </cell>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v>0</v>
          </cell>
          <cell r="D1172">
            <v>0</v>
          </cell>
          <cell r="E1172">
            <v>29.51</v>
          </cell>
        </row>
        <row r="1173">
          <cell r="A1173">
            <v>1301005060</v>
          </cell>
          <cell r="B1173" t="str">
            <v>SINAPI - 89804 - CURVA LONGA 90 GRAUS, PVC, SERIE NORMAL, ESGOTO PREDIAL, DN 50 MM, JUNTA ELASTICA, FORNECIDO E INSTALADO EM PRUMADA DE ESGOTO SANITARIO OU VENTILACAO. AF_12/2014 /UN</v>
          </cell>
          <cell r="C1173">
            <v>0</v>
          </cell>
          <cell r="D1173">
            <v>0</v>
          </cell>
          <cell r="E1173">
            <v>12.08</v>
          </cell>
        </row>
        <row r="1174">
          <cell r="A1174">
            <v>1301005061</v>
          </cell>
          <cell r="B1174" t="str">
            <v>SINAPI - 89808 - CURVA LONGA 90 GRAUS, PVC, SERIE NORMAL, ESGOTO PREDIAL, DN 75 MM, JUNTA ELASTICA, FORNECIDO E INSTALADO EM PRUMADA DE ESGOTO SANITARIO OU VENTILACAO. AF_12/2014 /UN</v>
          </cell>
          <cell r="C1174">
            <v>0</v>
          </cell>
          <cell r="D1174">
            <v>0</v>
          </cell>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v>0</v>
          </cell>
          <cell r="D1175">
            <v>0</v>
          </cell>
          <cell r="E1175">
            <v>48.32</v>
          </cell>
        </row>
        <row r="1176">
          <cell r="A1176">
            <v>1301005065</v>
          </cell>
          <cell r="B1176" t="str">
            <v>SINAPI - 89802 - JOELHO 45 GRAUS, PVC, SERIE NORMAL, ESGOTO PREDIAL, DN 50 MM, JUNTA ELASTICA, FORNECIDO E INSTALADO EM PRUMADA DE ESGOTO SANITARIO OU VENTILACAO. AF_12/2014 /UN</v>
          </cell>
          <cell r="C1176">
            <v>0</v>
          </cell>
          <cell r="D1176">
            <v>0</v>
          </cell>
          <cell r="E1176">
            <v>6.14</v>
          </cell>
        </row>
        <row r="1177">
          <cell r="A1177">
            <v>1301005066</v>
          </cell>
          <cell r="B1177" t="str">
            <v>SINAPI - 89806 - JOELHO 45 GRAUS, PVC, SERIE NORMAL, ESGOTO PREDIAL, DN 75 MM, JUNTA ELASTICA, FORNECIDO E INSTALADO EM PRUMADA DE ESGOTO SANITARIO OU VENTILACAO. AF_12/2014 /UN</v>
          </cell>
          <cell r="C1177">
            <v>0</v>
          </cell>
          <cell r="D1177">
            <v>0</v>
          </cell>
          <cell r="E1177">
            <v>11.79</v>
          </cell>
        </row>
        <row r="1178">
          <cell r="A1178">
            <v>1301005067</v>
          </cell>
          <cell r="B1178" t="str">
            <v>SINAPI - 89746 - JOELHO 45 GRAUS, PVC, SERIE NORMAL, ESGOTO PREDIAL, DN 100 MM, JUNTA ELASTICA, FORNECIDO E INSTALADO EM RAMAL DE DESCARGA OU RAMAL DE ESGOTO SANITARIO. AF_12/2014 /UN</v>
          </cell>
          <cell r="C1178">
            <v>0</v>
          </cell>
          <cell r="D1178">
            <v>0</v>
          </cell>
          <cell r="E1178">
            <v>18.86</v>
          </cell>
        </row>
        <row r="1179">
          <cell r="A1179">
            <v>1301005069</v>
          </cell>
          <cell r="B1179" t="str">
            <v>SINAPI - 89801 - JOELHO 90 GRAUS, PVC, SERIE NORMAL, ESGOTO PREDIAL, DN 50 MM, JUNTA ELASTICA, FORNECIDO E INSTALADO EM PRUMADA DE ESGOTO SANITARIO OU VENTILACAO. AF_12/2014 /UN</v>
          </cell>
          <cell r="C1179">
            <v>0</v>
          </cell>
          <cell r="D1179">
            <v>0</v>
          </cell>
          <cell r="E1179">
            <v>5.66</v>
          </cell>
        </row>
        <row r="1180">
          <cell r="A1180">
            <v>1301005070</v>
          </cell>
          <cell r="B1180" t="str">
            <v>SINAPI - 89805 - JOELHO 90 GRAUS, PVC, SERIE NORMAL, ESGOTO PREDIAL, DN 75 MM, JUNTA ELASTICA, FORNECIDO E INSTALADO EM PRUMADA DE ESGOTO SANITARIO OU VENTILACAO. AF_12/2014 /UN</v>
          </cell>
          <cell r="C1180">
            <v>0</v>
          </cell>
          <cell r="D1180">
            <v>0</v>
          </cell>
          <cell r="E1180">
            <v>11.11</v>
          </cell>
        </row>
        <row r="1181">
          <cell r="A1181">
            <v>1301005071</v>
          </cell>
          <cell r="B1181" t="str">
            <v>SINAPI - 89744 - JOELHO 90 GRAUS, PVC, SERIE NORMAL, ESGOTO PREDIAL, DN 100 MM, JUNTA ELASTICA, FORNECIDO E INSTALADO EM RAMAL DE DESCARGA OU RAMAL DE ESGOTO SANITARIO. AF_12/2014 /UN</v>
          </cell>
          <cell r="C1181">
            <v>0</v>
          </cell>
          <cell r="D1181">
            <v>0</v>
          </cell>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v>0</v>
          </cell>
          <cell r="D1182">
            <v>0</v>
          </cell>
          <cell r="E1182">
            <v>5.65</v>
          </cell>
        </row>
        <row r="1183">
          <cell r="A1183">
            <v>1301005075</v>
          </cell>
          <cell r="B1183" t="str">
            <v>SINAPI - 89817 - LUVA SIMPLES, PVC, SERIE NORMAL, ESGOTO PREDIAL, DN 75 MM, JUNTA ELASTICA, FORNECIDO E INSTALADO EM PRUMADA DE ESGOTO SANITARIO OU VENTILACAO. AF_12/2014 /UN</v>
          </cell>
          <cell r="C1183">
            <v>0</v>
          </cell>
          <cell r="D1183">
            <v>0</v>
          </cell>
          <cell r="E1183">
            <v>9.67</v>
          </cell>
        </row>
        <row r="1184">
          <cell r="A1184">
            <v>1301005076</v>
          </cell>
          <cell r="B1184" t="str">
            <v>SINAPI - 89778 - LUVA SIMPLES, PVC, SERIE NORMAL, ESGOTO PREDIAL, DN 100 MM, JUNTA ELASTICA, FORNECIDO E INSTALADO EM RAMAL DE DESCARGA OU RAMAL DE ESGOTO SANITARIO. AF_12/2014 /UN</v>
          </cell>
          <cell r="C1184">
            <v>0</v>
          </cell>
          <cell r="D1184">
            <v>0</v>
          </cell>
          <cell r="E1184">
            <v>14.88</v>
          </cell>
        </row>
        <row r="1185">
          <cell r="A1185">
            <v>1301005090</v>
          </cell>
          <cell r="B1185" t="str">
            <v>SINAPI - 89827 - JUNCAO SIMPLES, PVC, SERIE NORMAL, ESGOTO PREDIAL, DN 50 X 50 MM, JUNTA ELASTICA, FORNECIDO E INSTALADO EM PRUMADA DE ESGOTO SANITARIO OU VENTILACAO. AF_12/2014 /UN</v>
          </cell>
          <cell r="C1185">
            <v>0</v>
          </cell>
          <cell r="D1185">
            <v>0</v>
          </cell>
          <cell r="E1185">
            <v>13.7</v>
          </cell>
        </row>
        <row r="1186">
          <cell r="A1186">
            <v>1301005091</v>
          </cell>
          <cell r="B1186" t="str">
            <v>SINAPI - 89830 - JUNCAO SIMPLES, PVC, SERIE NORMAL, ESGOTO PREDIAL, DN 75 X 75 MM, JUNTA ELASTICA, FORNECIDO E INSTALADO EM PRUMADA DE ESGOTO SANITARIO OU VENTILACAO. AF_12/2014 /UN</v>
          </cell>
          <cell r="C1186">
            <v>0</v>
          </cell>
          <cell r="D1186">
            <v>0</v>
          </cell>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v>0</v>
          </cell>
          <cell r="D1187">
            <v>0</v>
          </cell>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v>0</v>
          </cell>
          <cell r="D1191">
            <v>0</v>
          </cell>
          <cell r="E1191">
            <v>12.34</v>
          </cell>
        </row>
        <row r="1192">
          <cell r="A1192">
            <v>1301005099</v>
          </cell>
          <cell r="B1192" t="str">
            <v>SINAPI - 89829 - TE, PVC, SERIE NORMAL, ESGOTO PREDIAL, DN 75 X 75 MM, JUNTA ELASTICA, FORNECIDO E INSTALADO EM PRUMADA DE ESGOTO SANITARIO OU VENTILACAO. AF_12/2014 /UN</v>
          </cell>
          <cell r="C1192">
            <v>0</v>
          </cell>
          <cell r="D1192">
            <v>0</v>
          </cell>
          <cell r="E1192">
            <v>21.53</v>
          </cell>
        </row>
        <row r="1193">
          <cell r="A1193">
            <v>1301005100</v>
          </cell>
          <cell r="B1193" t="str">
            <v>SINAPI - 89796 - TE, PVC, SERIE NORMAL, ESGOTO PREDIAL, DN 100 X 100 MM, JUNTA ELASTICA, FORNECIDO E INSTALADO EM RAMAL DE DESCARGA OU RAMAL DE ESGOTO SANITARIO. AF_12/2014 /UN</v>
          </cell>
          <cell r="C1193">
            <v>0</v>
          </cell>
          <cell r="D1193">
            <v>0</v>
          </cell>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v>0</v>
          </cell>
          <cell r="D1197">
            <v>0</v>
          </cell>
          <cell r="E1197">
            <v>13.77</v>
          </cell>
        </row>
        <row r="1198">
          <cell r="A1198">
            <v>1301005111</v>
          </cell>
          <cell r="B1198" t="str">
            <v>SINAPI - 89712 - TUBO PVC, SERIE NORMAL, ESGOTO PREDIAL, DN 50 MM, FORNECIDO E INSTALADO EM RAMAL DE DESCARGA OU RAMAL DE ESGOTO SANITARIO. AF_12/2014 /M</v>
          </cell>
          <cell r="C1198">
            <v>0</v>
          </cell>
          <cell r="D1198">
            <v>0</v>
          </cell>
          <cell r="E1198">
            <v>21.1</v>
          </cell>
        </row>
        <row r="1199">
          <cell r="A1199">
            <v>1301005112</v>
          </cell>
          <cell r="B1199" t="str">
            <v>SINAPI - 89713 - TUBO PVC, SERIE NORMAL, ESGOTO PREDIAL, DN 75 MM, FORNECIDO E INSTALADO EM RAMAL DE DESCARGA OU RAMAL DE ESGOTO SANITARIO. AF_12/2014 /M</v>
          </cell>
          <cell r="C1199">
            <v>0</v>
          </cell>
          <cell r="D1199">
            <v>0</v>
          </cell>
          <cell r="E1199">
            <v>32.44</v>
          </cell>
        </row>
        <row r="1200">
          <cell r="A1200">
            <v>1301005113</v>
          </cell>
          <cell r="B1200" t="str">
            <v>SINAPI - 89714 - TUBO PVC, SERIE NORMAL, ESGOTO PREDIAL, DN 100 MM, FORNECIDO E INSTALADO EM RAMAL DE DESCARGA OU RAMAL DE ESGOTO SANITARIO. AF_12/2014 /M</v>
          </cell>
          <cell r="C1200">
            <v>0</v>
          </cell>
          <cell r="D1200">
            <v>0</v>
          </cell>
          <cell r="E1200">
            <v>41.65</v>
          </cell>
        </row>
        <row r="1201">
          <cell r="A1201">
            <v>1301005114</v>
          </cell>
          <cell r="B1201" t="str">
            <v>SINAPI - 89849 - TUBO PVC, SERIE NORMAL, ESGOTO PREDIAL, DN 150 MM, FORNECIDO E INSTALADO EM SUBCOLETOR AEREO DE ESGOTO SANITARIO. AF_12/2014 /M</v>
          </cell>
          <cell r="C1201">
            <v>0</v>
          </cell>
          <cell r="D1201">
            <v>0</v>
          </cell>
          <cell r="E1201">
            <v>45.11</v>
          </cell>
        </row>
        <row r="1202">
          <cell r="A1202">
            <v>1301005156</v>
          </cell>
          <cell r="B1202" t="str">
            <v>SINAPI - 89707 - CAIXA SIFONADA, PVC, DN 100 X 100 X 50 MM, JUNTA ELASTICA, FORNECIDA E INSTALADA EM RAMAL DE DESCARGA OU EM RAMAL DE ESGOTO SANITARIO. AF_12/2014 /UN</v>
          </cell>
          <cell r="C1202">
            <v>0</v>
          </cell>
          <cell r="D1202">
            <v>0</v>
          </cell>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v>0</v>
          </cell>
          <cell r="D1204">
            <v>0</v>
          </cell>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v>0</v>
          </cell>
          <cell r="D1212">
            <v>0</v>
          </cell>
          <cell r="E1212">
            <v>143.55000000000001</v>
          </cell>
        </row>
        <row r="1213">
          <cell r="A1213">
            <v>1301005194</v>
          </cell>
          <cell r="B1213" t="str">
            <v>SINAPI - 97901 - CAIXA ENTERRADA HIDRAULICA RETANGULAR EM ALVENARIA COM TIJOLOS CERAMICOS MACICOS, DIMENSOES INTERNAS: 0,4X0,4X0,4 M PARA REDE DE ESGOTO. AF_12/2020 /UN</v>
          </cell>
          <cell r="C1213">
            <v>0</v>
          </cell>
          <cell r="D1213">
            <v>0</v>
          </cell>
          <cell r="E1213">
            <v>228.41</v>
          </cell>
        </row>
        <row r="1214">
          <cell r="A1214">
            <v>1301005206</v>
          </cell>
          <cell r="B1214" t="str">
            <v>SINAPI - 97902 - CAIXA ENTERRADA HIDRAULICA RETANGULAR EM ALVENARIA COM TIJOLOS CERAMICOS MACICOS, DIMENSOES INTERNAS: 0,6X0,6X0,6 M PARA REDE DE ESGOTO. AF_12/2020 /UN</v>
          </cell>
          <cell r="C1214">
            <v>0</v>
          </cell>
          <cell r="D1214">
            <v>0</v>
          </cell>
          <cell r="E1214">
            <v>453.76</v>
          </cell>
        </row>
        <row r="1215">
          <cell r="A1215">
            <v>1301005212</v>
          </cell>
          <cell r="B1215" t="str">
            <v>SINAPI - 97903 - CAIXA ENTERRADA HIDRAULICA RETANGULAR EM ALVENARIA COM TIJOLOS CERAMICOS MACICOS, DIMENSOES INTERNAS: 0,8X0,8X0,6 M PARA REDE DE ESGOTO. AF_12/2020 /UN</v>
          </cell>
          <cell r="C1215">
            <v>0</v>
          </cell>
          <cell r="D1215">
            <v>0</v>
          </cell>
          <cell r="E1215">
            <v>623.6</v>
          </cell>
        </row>
        <row r="1216">
          <cell r="A1216">
            <v>1301005214</v>
          </cell>
          <cell r="B1216" t="str">
            <v>SINAPI - 97904 - CAIXA ENTERRADA HIDRAULICA RETANGULAR EM ALVENARIA COM TIJOLOS CERAMICOS MACICOS, DIMENSOES INTERNAS: 1X1X0,6 M PARA REDE DE ESGOTO. AF_12/2020 /UN</v>
          </cell>
          <cell r="C1216">
            <v>0</v>
          </cell>
          <cell r="D1216">
            <v>0</v>
          </cell>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v>0</v>
          </cell>
          <cell r="D1218">
            <v>0</v>
          </cell>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v>0</v>
          </cell>
          <cell r="B1237">
            <v>0</v>
          </cell>
          <cell r="C1237">
            <v>0</v>
          </cell>
          <cell r="D1237">
            <v>0</v>
          </cell>
          <cell r="E1237">
            <v>0</v>
          </cell>
        </row>
        <row r="1238">
          <cell r="A1238">
            <v>0</v>
          </cell>
          <cell r="B1238" t="str">
            <v>*  AGUAS PLUVIAIS</v>
          </cell>
          <cell r="C1238">
            <v>0</v>
          </cell>
          <cell r="D1238">
            <v>0</v>
          </cell>
          <cell r="E1238">
            <v>0</v>
          </cell>
        </row>
        <row r="1239">
          <cell r="A1239">
            <v>1301006000</v>
          </cell>
          <cell r="B1239" t="str">
            <v>SINAPI - 89576 - TUBO PVC, SERIE R, AGUA PLUVIAL, DN 75 MM, FORNECIDO E INSTALADO EM CONDUTORES VERTICAIS DE AGUAS PLUVIAIS. AF_12/2014 /M</v>
          </cell>
          <cell r="C1239">
            <v>0</v>
          </cell>
          <cell r="D1239">
            <v>0</v>
          </cell>
          <cell r="E1239">
            <v>19.34</v>
          </cell>
        </row>
        <row r="1240">
          <cell r="A1240">
            <v>1301006002</v>
          </cell>
          <cell r="B1240" t="str">
            <v>SINAPI - 89578 - TUBO PVC, SERIE R, AGUA PLUVIAL, DN 100 MM, FORNECIDO E INSTALADO EM CONDUTORES VERTICAIS DE AGUAS PLUVIAIS. AF_12/2014 /M</v>
          </cell>
          <cell r="C1240">
            <v>0</v>
          </cell>
          <cell r="D1240">
            <v>0</v>
          </cell>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v>0</v>
          </cell>
          <cell r="D1246">
            <v>0</v>
          </cell>
          <cell r="E1246">
            <v>31.82</v>
          </cell>
        </row>
        <row r="1247">
          <cell r="A1247">
            <v>1301006027</v>
          </cell>
          <cell r="B1247" t="str">
            <v>SINAPI - 89512 - TUBO PVC, SERIE R, AGUA PLUVIAL, DN 100 MM, FORNECIDO E INSTALADO EM RAMAL DE ENCAMINHAMENTO. AF_12/2014 /M</v>
          </cell>
          <cell r="C1247">
            <v>0</v>
          </cell>
          <cell r="D1247">
            <v>0</v>
          </cell>
          <cell r="E1247">
            <v>50.59</v>
          </cell>
        </row>
        <row r="1248">
          <cell r="A1248">
            <v>1301006030</v>
          </cell>
          <cell r="B1248" t="str">
            <v>SINAPI - 89582 - JOELHO 45 GRAUS, PVC, SERIE R, AGUA PLUVIAL, DN 75 MM, JUNTA ELASTICA, FORNECIDO E INSTALADO EM CONDUTORES VERTICAIS DE AGUAS PLUVIAIS. AF_12/2014 /UN</v>
          </cell>
          <cell r="C1248">
            <v>0</v>
          </cell>
          <cell r="D1248">
            <v>0</v>
          </cell>
          <cell r="E1248">
            <v>18.66</v>
          </cell>
        </row>
        <row r="1249">
          <cell r="A1249">
            <v>1301006032</v>
          </cell>
          <cell r="B1249" t="str">
            <v>SINAPI - 89531 - JOELHO 45 GRAUS, PVC, SERIE R, AGUA PLUVIAL, DN 100 MM, JUNTA ELASTICA, FORNECIDO E INSTALADO EM RAMAL DE ENCAMINHAMENTO. AF_12/2014 /UN</v>
          </cell>
          <cell r="C1249">
            <v>0</v>
          </cell>
          <cell r="D1249">
            <v>0</v>
          </cell>
          <cell r="E1249">
            <v>26.9</v>
          </cell>
        </row>
        <row r="1250">
          <cell r="A1250">
            <v>1301006034</v>
          </cell>
          <cell r="B1250" t="str">
            <v>SINAPI - 89522 - JOELHO 90 GRAUS, PVC, SERIE R, AGUA PLUVIAL, DN 75 MM, JUNTA ELASTICA, FORNECIDO E INSTALADO EM RAMAL DE ENCAMINHAMENTO. AF_12/2014 /UN</v>
          </cell>
          <cell r="C1250">
            <v>0</v>
          </cell>
          <cell r="D1250">
            <v>0</v>
          </cell>
          <cell r="E1250">
            <v>22.46</v>
          </cell>
        </row>
        <row r="1251">
          <cell r="A1251">
            <v>1301006036</v>
          </cell>
          <cell r="B1251" t="str">
            <v>SINAPI - 89529 - JOELHO 90 GRAUS, PVC, SERIE R, AGUA PLUVIAL, DN 100 MM, JUNTA ELASTICA, FORNECIDO E INSTALADO EM RAMAL DE ENCAMINHAMENTO. AF_12/2014 /UN</v>
          </cell>
          <cell r="C1251">
            <v>0</v>
          </cell>
          <cell r="D1251">
            <v>0</v>
          </cell>
          <cell r="E1251">
            <v>33.14</v>
          </cell>
        </row>
        <row r="1252">
          <cell r="A1252">
            <v>1301006038</v>
          </cell>
          <cell r="B1252" t="str">
            <v>SINAPI - 89565 - JUNCAO SIMPLES, PVC, SERIE R, AGUA PLUVIAL, DN 75 X 75 MM, JUNTA ELASTICA, FORNECIDO E INSTALADO EM RAMAL DE ENCAMINHAMENTO. AF_12/2014 /UN</v>
          </cell>
          <cell r="C1252">
            <v>0</v>
          </cell>
          <cell r="D1252">
            <v>0</v>
          </cell>
          <cell r="E1252">
            <v>41.16</v>
          </cell>
        </row>
        <row r="1253">
          <cell r="A1253">
            <v>1301006040</v>
          </cell>
          <cell r="B1253" t="str">
            <v>SINAPI - 89567 - JUNCAO SIMPLES, PVC, SERIE R, AGUA PLUVIAL, DN 100 X 100 MM, JUNTA ELASTICA, FORNECIDO E INSTALADO EM RAMAL DE ENCAMINHAMENTO. AF_12/2014 /UN</v>
          </cell>
          <cell r="C1253">
            <v>0</v>
          </cell>
          <cell r="D1253">
            <v>0</v>
          </cell>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v>0</v>
          </cell>
          <cell r="D1264">
            <v>0</v>
          </cell>
          <cell r="E1264">
            <v>140.4</v>
          </cell>
        </row>
        <row r="1265">
          <cell r="A1265">
            <v>1301006074</v>
          </cell>
          <cell r="B1265" t="str">
            <v>SINAPI - 99251 - CAIXA ENTERRADA HIDRAULICA RETANGULAR EM ALVENARIA COM TIJOLOS CERAMICOS MACICOS, DIMENSOES INTERNAS: 0,4X0,4X0,4 M PARA REDE DE DRENAGEM. AF_12/2020 /UN</v>
          </cell>
          <cell r="C1265">
            <v>0</v>
          </cell>
          <cell r="D1265">
            <v>0</v>
          </cell>
          <cell r="E1265">
            <v>223.01</v>
          </cell>
        </row>
        <row r="1266">
          <cell r="A1266">
            <v>1301006082</v>
          </cell>
          <cell r="B1266" t="str">
            <v>SINAPI - 99253 - CAIXA ENTERRADA HIDRAULICA RETANGULAR EM ALVENARIA COM TIJOLOS CERAMICOS MACICOS, DIMENSOES INTERNAS: 0,6X0,6X0,6 M PARA REDE DE DRENAGEM. AF_12/2020 /UN</v>
          </cell>
          <cell r="C1266">
            <v>0</v>
          </cell>
          <cell r="D1266">
            <v>0</v>
          </cell>
          <cell r="E1266">
            <v>441.63</v>
          </cell>
        </row>
        <row r="1267">
          <cell r="A1267">
            <v>1301006086</v>
          </cell>
          <cell r="B1267" t="str">
            <v>SINAPI - 99255 - CAIXA ENTERRADA HIDRAULICA RETANGULAR EM ALVENARIA COM TIJOLOS CERAMICOS MACICOS, DIMENSOES INTERNAS: 0,8X0,8X0,6 M PARA REDE DE DRENAGEM. AF_12/2020 /UN</v>
          </cell>
          <cell r="C1267">
            <v>0</v>
          </cell>
          <cell r="D1267">
            <v>0</v>
          </cell>
          <cell r="E1267">
            <v>606.96</v>
          </cell>
        </row>
        <row r="1268">
          <cell r="A1268">
            <v>1301006088</v>
          </cell>
          <cell r="B1268" t="str">
            <v>SINAPI - 99257 - CAIXA ENTERRADA HIDRAULICA RETANGULAR EM ALVENARIA COM TIJOLOS CERAMICOS MACICOS, DIMENSOES INTERNAS: 1X1X0,6 M PARA REDE DE DRENAGEM. AF_12/2020 /UN</v>
          </cell>
          <cell r="C1268">
            <v>0</v>
          </cell>
          <cell r="D1268">
            <v>0</v>
          </cell>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v>0</v>
          </cell>
          <cell r="D1278">
            <v>0</v>
          </cell>
          <cell r="E1278">
            <v>8.74</v>
          </cell>
        </row>
        <row r="1279">
          <cell r="A1279">
            <v>1401000102</v>
          </cell>
          <cell r="B1279" t="str">
            <v>SINAPI - 92342 - TUBO DE ACO GALVANIZADO COM COSTURA, CLASSE MEDIA, DN 65 (2 1/2"), CONEXAO ROSQUEADA, INSTALADO EM PRUMADAS - FORNECIMENTO E INSTALACAO. AF_10/2020 /M</v>
          </cell>
          <cell r="C1279">
            <v>0</v>
          </cell>
          <cell r="D1279">
            <v>0</v>
          </cell>
          <cell r="E1279">
            <v>107.71</v>
          </cell>
        </row>
        <row r="1280">
          <cell r="A1280">
            <v>1401000104</v>
          </cell>
          <cell r="B1280" t="str">
            <v>SINAPI - 92343 - TUBO DE ACO GALVANIZADO COM COSTURA, CLASSE MEDIA, DN 80 (3"), CONEXAO ROSQUEADA, INSTALADO EM PRUMADAS - FORNECIMENTO E INSTALACAO. AF_10/2020 /M</v>
          </cell>
          <cell r="C1280">
            <v>0</v>
          </cell>
          <cell r="D1280">
            <v>0</v>
          </cell>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v>0</v>
          </cell>
          <cell r="D1284">
            <v>0</v>
          </cell>
          <cell r="E1284">
            <v>436.85</v>
          </cell>
        </row>
        <row r="1285">
          <cell r="A1285">
            <v>1401000112</v>
          </cell>
          <cell r="B1285" t="str">
            <v>SINAPI - 101914 - CAIXA DE INCENDIO 60X90X17CM - FORNECIMENTO E INSTALACAO. AF_10/2020 /UN</v>
          </cell>
          <cell r="C1285">
            <v>0</v>
          </cell>
          <cell r="D1285">
            <v>0</v>
          </cell>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v>0</v>
          </cell>
          <cell r="D1299">
            <v>0</v>
          </cell>
          <cell r="E1299">
            <v>157.71</v>
          </cell>
        </row>
        <row r="1300">
          <cell r="A1300">
            <v>1401000154</v>
          </cell>
          <cell r="B1300" t="str">
            <v>SINAPI - 101906 - EXTINTOR DE INCENDIO PORTATIL COM CARGA DE CO2 DE 4 KG, CLASSE BC - FORNECIMENTO E INSTALACAO. AF_10/2020_P /UN</v>
          </cell>
          <cell r="C1300">
            <v>0</v>
          </cell>
          <cell r="D1300">
            <v>0</v>
          </cell>
          <cell r="E1300">
            <v>467.11</v>
          </cell>
        </row>
        <row r="1301">
          <cell r="A1301">
            <v>1401000155</v>
          </cell>
          <cell r="B1301" t="str">
            <v>SINAPI - 101907 - EXTINTOR DE INCENDIO PORTATIL COM CARGA DE CO2 DE 6 KG, CLASSE BC - FORNECIMENTO E INSTALACAO. AF_10/2020_P /UN</v>
          </cell>
          <cell r="C1301">
            <v>0</v>
          </cell>
          <cell r="D1301">
            <v>0</v>
          </cell>
          <cell r="E1301">
            <v>504.81</v>
          </cell>
        </row>
        <row r="1302">
          <cell r="A1302">
            <v>1401000156</v>
          </cell>
          <cell r="B1302" t="str">
            <v>SINAPI - 101908 - EXTINTOR DE INCENDIO PORTATIL COM CARGA DE PQS DE 4 KG, CLASSE BC - FORNECIMENTO E INSTALACAO. AF_10/2020_P /UN</v>
          </cell>
          <cell r="C1302">
            <v>0</v>
          </cell>
          <cell r="D1302">
            <v>0</v>
          </cell>
          <cell r="E1302">
            <v>153</v>
          </cell>
        </row>
        <row r="1303">
          <cell r="A1303">
            <v>1401000157</v>
          </cell>
          <cell r="B1303" t="str">
            <v>SINAPI - 101909 - EXTINTOR DE INCENDIO PORTATIL COM CARGA DE PQS DE 6 KG, CLASSE BC - FORNECIMENTO E INSTALACAO. AF_10/2020_P /UN</v>
          </cell>
          <cell r="C1303">
            <v>0</v>
          </cell>
          <cell r="D1303">
            <v>0</v>
          </cell>
          <cell r="E1303">
            <v>178.13</v>
          </cell>
        </row>
        <row r="1304">
          <cell r="A1304">
            <v>1401000158</v>
          </cell>
          <cell r="B1304" t="str">
            <v>SINAPI - 101910 - EXTINTOR DE INCENDIO PORTATIL COM CARGA DE PQS DE 8 KG, CLASSE BC - FORNECIMENTO E INSTALACAO. AF_10/2020_P /UN</v>
          </cell>
          <cell r="C1304">
            <v>0</v>
          </cell>
          <cell r="D1304">
            <v>0</v>
          </cell>
          <cell r="E1304">
            <v>209.54</v>
          </cell>
        </row>
        <row r="1305">
          <cell r="A1305">
            <v>1401000159</v>
          </cell>
          <cell r="B1305" t="str">
            <v>SINAPI - 101911 - EXTINTOR DE INCENDIO PORTATIL COM CARGA DE PQS DE 12 KG, CLASSE BC - FORNECIMENTO E INSTALACAO. AF_10/2020_P /UN</v>
          </cell>
          <cell r="C1305">
            <v>0</v>
          </cell>
          <cell r="D1305">
            <v>0</v>
          </cell>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v>0</v>
          </cell>
          <cell r="D1318">
            <v>0</v>
          </cell>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v>0</v>
          </cell>
          <cell r="D1319">
            <v>0</v>
          </cell>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v>0</v>
          </cell>
          <cell r="D1321">
            <v>0</v>
          </cell>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v>0</v>
          </cell>
          <cell r="D1322">
            <v>0</v>
          </cell>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v>0</v>
          </cell>
          <cell r="D1323">
            <v>0</v>
          </cell>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v>0</v>
          </cell>
          <cell r="D1325">
            <v>0</v>
          </cell>
          <cell r="E1325">
            <v>47.3</v>
          </cell>
        </row>
        <row r="1326">
          <cell r="A1326">
            <v>1501000113</v>
          </cell>
          <cell r="B1326" t="str">
            <v>SINAPI - 87242 - REVESTIMENTO CERAMICO PARA PAREDES EXTERNAS EM PASTILHAS DE PORCELANA 5 X 5 CM (PLACAS DE 30 X 30 CM), ALINHADAS A PRUMO, APLICADO EM PANOS COM VAOS. AF_06/2014 /M2</v>
          </cell>
          <cell r="C1326">
            <v>0</v>
          </cell>
          <cell r="D1326">
            <v>0</v>
          </cell>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v>0</v>
          </cell>
          <cell r="D1333">
            <v>0</v>
          </cell>
          <cell r="E1333">
            <v>4.3499999999999996</v>
          </cell>
        </row>
        <row r="1334">
          <cell r="A1334">
            <v>1601000097</v>
          </cell>
          <cell r="B1334" t="str">
            <v>SINAPI - 87885 - CHAPISCO APLICADO NO TETO, COM ROLO PARA TEXTURA ACRILICA. ARGAMASSA INDUSTRIALIZADA COM PREPARO EM MISTURADOR 300 KG. AF_06/2014 /M2</v>
          </cell>
          <cell r="C1334">
            <v>0</v>
          </cell>
          <cell r="D1334">
            <v>0</v>
          </cell>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v>0</v>
          </cell>
          <cell r="D1337">
            <v>0</v>
          </cell>
          <cell r="E1337">
            <v>118.41</v>
          </cell>
        </row>
        <row r="1338">
          <cell r="A1338">
            <v>1601000108</v>
          </cell>
          <cell r="B1338" t="str">
            <v>SINAPI - 96122 - ACABAMENTOS PARA FORRO (RODA-FORRO EM MADEIRA PINUS). AF_05/2017 /M</v>
          </cell>
          <cell r="C1338">
            <v>0</v>
          </cell>
          <cell r="D1338">
            <v>0</v>
          </cell>
          <cell r="E1338">
            <v>28.32</v>
          </cell>
        </row>
        <row r="1339">
          <cell r="A1339">
            <v>1601000110</v>
          </cell>
          <cell r="B1339" t="str">
            <v>SINAPI - 96113 - FORRO EM PLACAS DE GESSO, PARA AMBIENTES COMERCIAIS. AF_05/2017_P /M2</v>
          </cell>
          <cell r="C1339">
            <v>0</v>
          </cell>
          <cell r="D1339">
            <v>0</v>
          </cell>
          <cell r="E1339">
            <v>27.23</v>
          </cell>
        </row>
        <row r="1340">
          <cell r="A1340">
            <v>1601000111</v>
          </cell>
          <cell r="B1340" t="str">
            <v>SINAPI - 96114 - FORRO EM DRYWALL, PARA AMBIENTES COMERCIAIS, INCLUSIVE ESTRUTURA DE FIXACAO. AF_05/2017_P /M2</v>
          </cell>
          <cell r="C1340">
            <v>0</v>
          </cell>
          <cell r="D1340">
            <v>0</v>
          </cell>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v>0</v>
          </cell>
          <cell r="D1342">
            <v>0</v>
          </cell>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v>0</v>
          </cell>
          <cell r="D1350">
            <v>0</v>
          </cell>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v>0</v>
          </cell>
          <cell r="D1356">
            <v>0</v>
          </cell>
          <cell r="E1356">
            <v>57</v>
          </cell>
        </row>
        <row r="1357">
          <cell r="A1357">
            <v>1701000111</v>
          </cell>
          <cell r="B1357" t="str">
            <v>SINAPI - 88650 - RODAPE CERAMICO DE 7CM DE ALTURA COM PLACAS TIPO ESMALTADA EXTRA DE DIMENSOES 60X60CM. AF_06/2014 /M</v>
          </cell>
          <cell r="C1357">
            <v>0</v>
          </cell>
          <cell r="D1357">
            <v>0</v>
          </cell>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v>0</v>
          </cell>
          <cell r="D1360">
            <v>0</v>
          </cell>
          <cell r="E1360">
            <v>154.54</v>
          </cell>
        </row>
        <row r="1361">
          <cell r="A1361">
            <v>1701000119</v>
          </cell>
          <cell r="B1361" t="str">
            <v>SINAPI - 98688 - RODAPE EM POLIESTIRENO, ALTURA 5 CM. AF_09/2020 /M</v>
          </cell>
          <cell r="C1361">
            <v>0</v>
          </cell>
          <cell r="D1361">
            <v>0</v>
          </cell>
          <cell r="E1361">
            <v>45.96</v>
          </cell>
        </row>
        <row r="1362">
          <cell r="A1362">
            <v>1701000120</v>
          </cell>
          <cell r="B1362" t="str">
            <v>SINAPI - 101752 - PISO EM GRANILITE, MARMORITE OU GRANITINA EM AMBIENTES INTERNOS. AF_09/2020 /M2</v>
          </cell>
          <cell r="C1362">
            <v>0</v>
          </cell>
          <cell r="D1362">
            <v>0</v>
          </cell>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v>0</v>
          </cell>
          <cell r="D1368">
            <v>0</v>
          </cell>
          <cell r="E1368">
            <v>73.069999999999993</v>
          </cell>
        </row>
        <row r="1369">
          <cell r="A1369">
            <v>1701000131</v>
          </cell>
          <cell r="B1369" t="str">
            <v>SINAPI - 94997 - EXECUCAO DE PASSEIO (CALCADA) OU PISO DE CONCRETO COM CONCRETO MOLDADO IN LOCO, USINADO, ACABAMENTO CONVENCIONAL, ESPESSURA 10 CM, ARMADO. AF_07/2016 /M2</v>
          </cell>
          <cell r="C1369">
            <v>0</v>
          </cell>
          <cell r="D1369">
            <v>0</v>
          </cell>
          <cell r="E1369">
            <v>79.08</v>
          </cell>
        </row>
        <row r="1370">
          <cell r="A1370">
            <v>1701000132</v>
          </cell>
          <cell r="B1370" t="str">
            <v>SINAPI - 101747 - PISO EM CONCRETO 20 MPA PREPARO MECANICO, ESPESSURA 7CM. AF_09/2020 /M2</v>
          </cell>
          <cell r="C1370">
            <v>0</v>
          </cell>
          <cell r="D1370">
            <v>0</v>
          </cell>
          <cell r="E1370">
            <v>53.48</v>
          </cell>
        </row>
        <row r="1371">
          <cell r="A1371">
            <v>1701000142</v>
          </cell>
          <cell r="B1371" t="str">
            <v>SINAPI - 94990 - EXECUCAO DE PASSEIO (CALCADA) OU PISO DE CONCRETO COM CONCRETO MOLDADO IN LOCO, FEITO EM OBRA, ACABAMENTO CONVENCIONAL, NAO ARMADO. AF_07/2016 /M3</v>
          </cell>
          <cell r="C1371">
            <v>0</v>
          </cell>
          <cell r="D1371">
            <v>0</v>
          </cell>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v>0</v>
          </cell>
          <cell r="D1374">
            <v>0</v>
          </cell>
          <cell r="E1374">
            <v>24.64</v>
          </cell>
        </row>
        <row r="1375">
          <cell r="A1375">
            <v>1701000152</v>
          </cell>
          <cell r="B1375" t="str">
            <v>SINAPI - 98680 - PISO CIMENTADO, TRACO 1:3 (CIMENTO E AREIA), ACABAMENTO LISO, ESPESSURA 3,0 CM, PREPARO MECANICO DA ARGAMASSA. AF_09/2020 /M2</v>
          </cell>
          <cell r="C1375">
            <v>0</v>
          </cell>
          <cell r="D1375">
            <v>0</v>
          </cell>
          <cell r="E1375">
            <v>31.01</v>
          </cell>
        </row>
        <row r="1376">
          <cell r="A1376">
            <v>1701000156</v>
          </cell>
          <cell r="B1376" t="str">
            <v>SINAPI - 98681 - PISO CIMENTADO, TRACO 1:3 (CIMENTO E AREIA), ACABAMENTO RUSTICO, ESPESSURA 2,0 CM, PREPARO MECANICO DA ARGAMASSA. AF_09/2020 /M2</v>
          </cell>
          <cell r="C1376">
            <v>0</v>
          </cell>
          <cell r="D1376">
            <v>0</v>
          </cell>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v>0</v>
          </cell>
          <cell r="D1379">
            <v>0</v>
          </cell>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v>0</v>
          </cell>
          <cell r="D1387">
            <v>0</v>
          </cell>
          <cell r="E1387">
            <v>123.83</v>
          </cell>
        </row>
        <row r="1388">
          <cell r="A1388">
            <v>1801000085</v>
          </cell>
          <cell r="B1388" t="str">
            <v>SINAPI - 102161 - INSTALACAO DE VIDRO LISO INCOLOR, E = 3 MM, EM ESQUADRIA DE ALUMINIO OU PVC, FIXADO COM BAGUETE. AF_01/2021_P /M2</v>
          </cell>
          <cell r="C1388">
            <v>0</v>
          </cell>
          <cell r="D1388">
            <v>0</v>
          </cell>
          <cell r="E1388">
            <v>194.21</v>
          </cell>
        </row>
        <row r="1389">
          <cell r="A1389">
            <v>1801000090</v>
          </cell>
          <cell r="B1389" t="str">
            <v>SINAPI - 102152 - INSTALACAO DE VIDRO LISO, E = 4 MM, EM ESQUADRIA DE MADEIRA, FIXADO COM BAGUETE. AF_01/2021 /M2</v>
          </cell>
          <cell r="C1389">
            <v>0</v>
          </cell>
          <cell r="D1389">
            <v>0</v>
          </cell>
          <cell r="E1389">
            <v>155.49</v>
          </cell>
        </row>
        <row r="1390">
          <cell r="A1390">
            <v>1801000095</v>
          </cell>
          <cell r="B1390" t="str">
            <v>SINAPI - 102162 - INSTALACAO DE VIDRO LISO INCOLOR, E = 4 MM, EM ESQUADRIA DE ALUMINIO OU PVC, FIXADO COM BAGUETE. AF_01/2021_P /M2</v>
          </cell>
          <cell r="C1390">
            <v>0</v>
          </cell>
          <cell r="D1390">
            <v>0</v>
          </cell>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v>0</v>
          </cell>
          <cell r="D1393">
            <v>0</v>
          </cell>
          <cell r="E1393">
            <v>197.71</v>
          </cell>
        </row>
        <row r="1394">
          <cell r="A1394">
            <v>1801000106</v>
          </cell>
          <cell r="B1394" t="str">
            <v>SINAPI - 102163 - INSTALACAO DE VIDRO LISO FUME, E = 4 MM, EM ESQUADRIA DE ALUMINIO OU PVC, FIXADO COM BAGUETE. AF_01/2021_P /M2</v>
          </cell>
          <cell r="C1394">
            <v>0</v>
          </cell>
          <cell r="D1394">
            <v>0</v>
          </cell>
          <cell r="E1394">
            <v>268.08999999999997</v>
          </cell>
        </row>
        <row r="1395">
          <cell r="A1395">
            <v>1801000108</v>
          </cell>
          <cell r="B1395" t="str">
            <v>SINAPI - 102172 - INSTALACAO DE VIDRO ARAMADO, E = 7 MM, EM ESQUADRIA DE ALUMINIO OU PVC, FIXADO COM BAGUETE. AF_01/2021_P /M2</v>
          </cell>
          <cell r="C1395">
            <v>0</v>
          </cell>
          <cell r="D1395">
            <v>0</v>
          </cell>
          <cell r="E1395">
            <v>389.48</v>
          </cell>
        </row>
        <row r="1396">
          <cell r="A1396">
            <v>1801000110</v>
          </cell>
          <cell r="B1396" t="str">
            <v>SINAPI - 102179 - INSTALACAO DE VIDRO TEMPERADO, E = 6 MM, ENCAIXADO EM PERFIL U. AF_01/2021_P /M2</v>
          </cell>
          <cell r="C1396">
            <v>0</v>
          </cell>
          <cell r="D1396">
            <v>0</v>
          </cell>
          <cell r="E1396">
            <v>265.54000000000002</v>
          </cell>
        </row>
        <row r="1397">
          <cell r="A1397">
            <v>1801000112</v>
          </cell>
          <cell r="B1397" t="str">
            <v>SINAPI - 102180 - INSTALACAO DE VIDRO TEMPERADO, E = 8 MM, ENCAIXADO EM PERFIL U. AF_01/2021_P /M2</v>
          </cell>
          <cell r="C1397">
            <v>0</v>
          </cell>
          <cell r="D1397">
            <v>0</v>
          </cell>
          <cell r="E1397">
            <v>306.24</v>
          </cell>
        </row>
        <row r="1398">
          <cell r="A1398">
            <v>1801000114</v>
          </cell>
          <cell r="B1398" t="str">
            <v>SINAPI - 102181 - INSTALACAO DE VIDRO TEMPERADO, E = 10 MM, ENCAIXADO EM PERFIL U. AF_01/2021_P /M2</v>
          </cell>
          <cell r="C1398">
            <v>0</v>
          </cell>
          <cell r="D1398">
            <v>0</v>
          </cell>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v>0</v>
          </cell>
          <cell r="D1400">
            <v>0</v>
          </cell>
          <cell r="E1400">
            <v>589.12</v>
          </cell>
        </row>
        <row r="1401">
          <cell r="A1401">
            <v>1801000132</v>
          </cell>
          <cell r="B1401" t="str">
            <v>SINAPI - 101163 - ALVENARIA DE VEDACAO COM BLOCO DE VIDRO VAZADO, TIPO VENEZIANA, DE 6X20X20CM E ARGAMASSA DE ASSENTAMENTO COM PREPARO EM BETONEIRA. AF_05/2020 /M2</v>
          </cell>
          <cell r="C1401">
            <v>0</v>
          </cell>
          <cell r="D1401">
            <v>0</v>
          </cell>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v>0</v>
          </cell>
          <cell r="D1409">
            <v>0</v>
          </cell>
          <cell r="E1409">
            <v>2.31</v>
          </cell>
        </row>
        <row r="1410">
          <cell r="A1410">
            <v>1901003017</v>
          </cell>
          <cell r="B1410" t="str">
            <v>SINAPI - 88485 - APLICACAO DE FUNDO SELADOR ACRILICO EM PAREDES, UMA DEMAO. AF_06/2014 /M2</v>
          </cell>
          <cell r="C1410">
            <v>0</v>
          </cell>
          <cell r="D1410">
            <v>0</v>
          </cell>
          <cell r="E1410">
            <v>2.0099999999999998</v>
          </cell>
        </row>
        <row r="1411">
          <cell r="A1411">
            <v>1901003020</v>
          </cell>
          <cell r="B1411" t="str">
            <v>SINAPI - 100719 - PINTURA COM TINTA ALQUIDICA DE FUNDO (TIPO ZARCAO) PULVERIZADA SOBRE PERFIL METALICO EXECUTADO EM FABRICA (POR DEMAO). AF_01/2020 /M2</v>
          </cell>
          <cell r="C1411">
            <v>0</v>
          </cell>
          <cell r="D1411">
            <v>0</v>
          </cell>
          <cell r="E1411">
            <v>6.96</v>
          </cell>
        </row>
        <row r="1412">
          <cell r="A1412">
            <v>1901003025</v>
          </cell>
          <cell r="B1412" t="str">
            <v>SINAPI - 88497 - APLICACAO E LIXAMENTO DE MASSA LATEX EM PAREDES, DUAS DEMAOS. AF_06/2014 /M2</v>
          </cell>
          <cell r="C1412">
            <v>0</v>
          </cell>
          <cell r="D1412">
            <v>0</v>
          </cell>
          <cell r="E1412">
            <v>11.65</v>
          </cell>
        </row>
        <row r="1413">
          <cell r="A1413">
            <v>1901003030</v>
          </cell>
          <cell r="B1413" t="str">
            <v>SINAPI - 88496 - APLICACAO E LIXAMENTO DE MASSA LATEX EM TETO, DUAS DEMAOS. AF_06/2014 /M2</v>
          </cell>
          <cell r="C1413">
            <v>0</v>
          </cell>
          <cell r="D1413">
            <v>0</v>
          </cell>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v>0</v>
          </cell>
          <cell r="D1416">
            <v>0</v>
          </cell>
          <cell r="E1416">
            <v>9.32</v>
          </cell>
        </row>
        <row r="1417">
          <cell r="A1417">
            <v>1901003115</v>
          </cell>
          <cell r="B1417" t="str">
            <v>SINAPI - 88486 - APLICACAO MANUAL DE PINTURA COM TINTA LATEX PVA EM TETO, DUAS DEMAOS. AF_06/2014 /M2</v>
          </cell>
          <cell r="C1417">
            <v>0</v>
          </cell>
          <cell r="D1417">
            <v>0</v>
          </cell>
          <cell r="E1417">
            <v>10.29</v>
          </cell>
        </row>
        <row r="1418">
          <cell r="A1418">
            <v>1901003120</v>
          </cell>
          <cell r="B1418" t="str">
            <v>SINAPI - 88489 - APLICACAO MANUAL DE PINTURA COM TINTA LATEX ACRILICA EM PAREDES, DUAS DEMAOS. AF_06/2014 /M2</v>
          </cell>
          <cell r="C1418">
            <v>0</v>
          </cell>
          <cell r="D1418">
            <v>0</v>
          </cell>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v>0</v>
          </cell>
          <cell r="D1420">
            <v>0</v>
          </cell>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v>0</v>
          </cell>
          <cell r="D1421">
            <v>0</v>
          </cell>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v>0</v>
          </cell>
          <cell r="D1422">
            <v>0</v>
          </cell>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v>0</v>
          </cell>
          <cell r="D1425">
            <v>0</v>
          </cell>
          <cell r="E1425">
            <v>10.9</v>
          </cell>
        </row>
        <row r="1426">
          <cell r="A1426">
            <v>1901003220</v>
          </cell>
          <cell r="B1426" t="str">
            <v>SINAPI - 102220 - PINTURA TINTA DE ACABAMENTO (PIGMENTADA) ESMALTE SINTETICO BRILHANTE EM MADEIRA, 2 DEMAOS. AF_01/2021 /M2</v>
          </cell>
          <cell r="C1426">
            <v>0</v>
          </cell>
          <cell r="D1426">
            <v>0</v>
          </cell>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v>0</v>
          </cell>
          <cell r="D1427">
            <v>0</v>
          </cell>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v>0</v>
          </cell>
          <cell r="D1428">
            <v>0</v>
          </cell>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v>0</v>
          </cell>
          <cell r="D1429">
            <v>0</v>
          </cell>
          <cell r="E1429">
            <v>32.21</v>
          </cell>
        </row>
        <row r="1430">
          <cell r="A1430">
            <v>1901003245</v>
          </cell>
          <cell r="B1430" t="str">
            <v>SINAPI - 41595 - PINTURA ACRILICA DE FAIXAS DE DEMARCACAO EM QUADRA POLIESPORTIVA, 5 CM DE LARGURA /M</v>
          </cell>
          <cell r="C1430">
            <v>0</v>
          </cell>
          <cell r="D1430">
            <v>0</v>
          </cell>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v>0</v>
          </cell>
          <cell r="D1432">
            <v>0</v>
          </cell>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v>0</v>
          </cell>
          <cell r="D1434">
            <v>0</v>
          </cell>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v>0</v>
          </cell>
          <cell r="B1446" t="str">
            <v>*  LOUCAS</v>
          </cell>
          <cell r="C1446">
            <v>0</v>
          </cell>
          <cell r="D1446">
            <v>0</v>
          </cell>
          <cell r="E1446">
            <v>0</v>
          </cell>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v>0</v>
          </cell>
          <cell r="D1448">
            <v>0</v>
          </cell>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v>0</v>
          </cell>
          <cell r="B1453">
            <v>0</v>
          </cell>
          <cell r="C1453">
            <v>0</v>
          </cell>
          <cell r="D1453">
            <v>0</v>
          </cell>
          <cell r="E1453">
            <v>0</v>
          </cell>
        </row>
        <row r="1454">
          <cell r="A1454">
            <v>0</v>
          </cell>
          <cell r="B1454" t="str">
            <v>*  ACESSORIOS</v>
          </cell>
          <cell r="C1454">
            <v>0</v>
          </cell>
          <cell r="D1454">
            <v>0</v>
          </cell>
          <cell r="E1454">
            <v>0</v>
          </cell>
        </row>
        <row r="1455">
          <cell r="A1455">
            <v>2401002000</v>
          </cell>
          <cell r="B1455" t="str">
            <v>SINAPI - 100868 - BARRA DE APOIO RETA, EM ACO INOX POLIDO, COMPRIMENTO 80 CM,  FIXADA NA PAREDE - FORNECIMENTO E INSTALACAO. AF_01/2020 /UN</v>
          </cell>
          <cell r="C1455">
            <v>0</v>
          </cell>
          <cell r="D1455">
            <v>0</v>
          </cell>
          <cell r="E1455">
            <v>248.4</v>
          </cell>
        </row>
        <row r="1456">
          <cell r="A1456">
            <v>2401002005</v>
          </cell>
          <cell r="B1456" t="str">
            <v>SINAPI - 100867 - BARRA DE APOIO RETA, EM ACO INOX POLIDO, COMPRIMENTO 70 CM,  FIXADA NA PAREDE - FORNECIMENTO E INSTALACAO. AF_01/2020 /UN</v>
          </cell>
          <cell r="C1456">
            <v>0</v>
          </cell>
          <cell r="D1456">
            <v>0</v>
          </cell>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v>0</v>
          </cell>
          <cell r="D1459">
            <v>0</v>
          </cell>
          <cell r="E1459">
            <v>476.74</v>
          </cell>
        </row>
        <row r="1460">
          <cell r="A1460">
            <v>2401002020</v>
          </cell>
          <cell r="B1460" t="str">
            <v>SINAPI - 100866 - BARRA DE APOIO RETA, EM ACO INOX POLIDO, COMPRIMENTO 60CM, FIXADA NA PAREDE - FORNECIMENTO E INSTALACAO. AF_01/2020 /UN</v>
          </cell>
          <cell r="C1460">
            <v>0</v>
          </cell>
          <cell r="D1460">
            <v>0</v>
          </cell>
          <cell r="E1460">
            <v>220.18</v>
          </cell>
        </row>
        <row r="1461">
          <cell r="A1461">
            <v>2401002025</v>
          </cell>
          <cell r="B1461" t="str">
            <v>SINAPI - 100863 - BARRA DE APOIO EM "L", EM ACO INOX POLIDO 70 X 70 CM, FIXADA NA PAREDE - FORNECIMENTO E INSTALACAO. AF_01/2020 /UN</v>
          </cell>
          <cell r="C1461">
            <v>0</v>
          </cell>
          <cell r="D1461">
            <v>0</v>
          </cell>
          <cell r="E1461">
            <v>448.47</v>
          </cell>
        </row>
        <row r="1462">
          <cell r="A1462">
            <v>2401002030</v>
          </cell>
          <cell r="B1462" t="str">
            <v>SINAPI - 100875 - BANCO ARTICULADO, EM ACO INOX, PARA PCD, FIXADO NA PAREDE - FORNECIMENTO E INSTALACAO. AF_01/2020 /UN</v>
          </cell>
          <cell r="C1462">
            <v>0</v>
          </cell>
          <cell r="D1462">
            <v>0</v>
          </cell>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v>0</v>
          </cell>
          <cell r="B1480">
            <v>0</v>
          </cell>
          <cell r="C1480">
            <v>0</v>
          </cell>
          <cell r="D1480">
            <v>0</v>
          </cell>
          <cell r="E1480">
            <v>0</v>
          </cell>
        </row>
        <row r="1481">
          <cell r="A1481">
            <v>0</v>
          </cell>
          <cell r="B1481" t="str">
            <v>*  REVESTIMENTO DE PISOS</v>
          </cell>
          <cell r="C1481">
            <v>0</v>
          </cell>
          <cell r="D1481">
            <v>0</v>
          </cell>
          <cell r="E1481">
            <v>0</v>
          </cell>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v>0</v>
          </cell>
          <cell r="D1495">
            <v>0</v>
          </cell>
          <cell r="E1495">
            <v>163.11000000000001</v>
          </cell>
        </row>
        <row r="1496">
          <cell r="A1496">
            <v>2001001045</v>
          </cell>
          <cell r="B1496" t="str">
            <v>SINAPI - 98522 - ALAMBRADO EM MOUROES DE CONCRETO, COM TELA DE ARAME GALVANIZADO (INCLUSIVE MURETA EM CONCRETO). AF_05/2018 /M</v>
          </cell>
          <cell r="C1496">
            <v>0</v>
          </cell>
          <cell r="D1496">
            <v>0</v>
          </cell>
          <cell r="E1496">
            <v>101.83</v>
          </cell>
        </row>
        <row r="1497">
          <cell r="A1497">
            <v>2001001200</v>
          </cell>
          <cell r="B1497" t="str">
            <v>SINAPI - 96361 - PAREDE COM PLACAS DE GESSO ACARTONADO (DRYWALL), PARA USO INTERNO, COM DUAS FACES SIMPLES E ESTRUTURA METALICA COM GUIAS DUPLAS, COM VAOS. AF_06/2017_P /M2</v>
          </cell>
          <cell r="C1497">
            <v>0</v>
          </cell>
          <cell r="D1497">
            <v>0</v>
          </cell>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v>0</v>
          </cell>
          <cell r="D1501">
            <v>0</v>
          </cell>
          <cell r="E1501">
            <v>252.79</v>
          </cell>
        </row>
        <row r="1502">
          <cell r="A1502">
            <v>2001003005</v>
          </cell>
          <cell r="B1502" t="str">
            <v>SINAPI - 102253 - DIVISORIA SANITARIA, TIPO CABINE, EM GRANITO CINZA POLIDO, ESP = 3CM, ASSENTADO COM ARGAMASSA COLANTE AC III-E, EXCLUSIVE FERRAGENS. AF_01/2021 /M2</v>
          </cell>
          <cell r="C1502">
            <v>0</v>
          </cell>
          <cell r="D1502">
            <v>0</v>
          </cell>
          <cell r="E1502">
            <v>635.80999999999995</v>
          </cell>
        </row>
        <row r="1503">
          <cell r="A1503">
            <v>2001003012</v>
          </cell>
          <cell r="B1503" t="str">
            <v>MURO (H=2,00M) REVESTIDO E PINTADO - ANEXO A-118 (S.C.) - PLANILHA PADRAO 000566 /M</v>
          </cell>
          <cell r="C1503">
            <v>0</v>
          </cell>
          <cell r="D1503">
            <v>0</v>
          </cell>
          <cell r="E1503">
            <v>567.89</v>
          </cell>
        </row>
        <row r="1504">
          <cell r="A1504">
            <v>2001003013</v>
          </cell>
          <cell r="B1504" t="str">
            <v>MURO (H=2,00 M) - ANEXO A-118 (S.C.) - SIMPLIFICADO(CHAPISCADO/REGULARIZADO/CHAPISCADO DESEMPENADO) - PLANILHA PADRAO 000567 /M</v>
          </cell>
          <cell r="C1504">
            <v>0</v>
          </cell>
          <cell r="D1504">
            <v>0</v>
          </cell>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v>0</v>
          </cell>
          <cell r="D1507">
            <v>0</v>
          </cell>
          <cell r="E1507">
            <v>38.64</v>
          </cell>
        </row>
        <row r="1508">
          <cell r="A1508">
            <v>2001003018</v>
          </cell>
          <cell r="B1508" t="str">
            <v>SINAPI - 92397 - EXECUCAO DE PATIO/ESTACIONAMENTO EM PISO INTERTRAVADO, COM BLOCO RETANGULAR COR NATURAL DE 20 X 10 CM, ESPESSURA 6 CM. AF_12/2015 /M2</v>
          </cell>
          <cell r="C1508">
            <v>0</v>
          </cell>
          <cell r="D1508">
            <v>0</v>
          </cell>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v>0</v>
          </cell>
          <cell r="D1509">
            <v>0</v>
          </cell>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v>0</v>
          </cell>
          <cell r="D1517">
            <v>0</v>
          </cell>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v>0</v>
          </cell>
          <cell r="D1518">
            <v>0</v>
          </cell>
          <cell r="E1518">
            <v>39.22</v>
          </cell>
        </row>
        <row r="1519">
          <cell r="A1519">
            <v>2001003160</v>
          </cell>
          <cell r="B1519" t="str">
            <v>SINAPI - 94263 - GUIA (MEIO-FIO) CONCRETO, MOLDADA  IN LOCO  EM TRECHO RETO COM EXTRUSORA, 13 CM BASE X 22 CM ALTURA. AF_06/2016 /M</v>
          </cell>
          <cell r="C1519">
            <v>0</v>
          </cell>
          <cell r="D1519">
            <v>0</v>
          </cell>
          <cell r="E1519">
            <v>23.03</v>
          </cell>
        </row>
        <row r="1520">
          <cell r="A1520">
            <v>2001003165</v>
          </cell>
          <cell r="B1520" t="str">
            <v>SINAPI - 94264 - GUIA (MEIO-FIO) CONCRETO, MOLDADA  IN LOCO  EM TRECHO CURVO COM EXTRUSORA, 13 CM BASE X 22 CM ALTURA. AF_06/2016 /M</v>
          </cell>
          <cell r="C1520">
            <v>0</v>
          </cell>
          <cell r="D1520">
            <v>0</v>
          </cell>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v>0</v>
          </cell>
          <cell r="D1523">
            <v>0</v>
          </cell>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v>0</v>
          </cell>
          <cell r="D1527">
            <v>0</v>
          </cell>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v>0</v>
          </cell>
          <cell r="D1529">
            <v>0</v>
          </cell>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v>0</v>
          </cell>
          <cell r="D1532">
            <v>0</v>
          </cell>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v>0</v>
          </cell>
          <cell r="D1547">
            <v>0</v>
          </cell>
          <cell r="E1547">
            <v>6.51</v>
          </cell>
        </row>
        <row r="1548">
          <cell r="A1548">
            <v>2101000102</v>
          </cell>
          <cell r="B1548" t="str">
            <v>SINAPI - 98509 - PLANTIO DE ARBUSTO OU  CERCA VIVA. AF_05/2018 /UN</v>
          </cell>
          <cell r="C1548">
            <v>0</v>
          </cell>
          <cell r="D1548">
            <v>0</v>
          </cell>
          <cell r="E1548">
            <v>43.43</v>
          </cell>
        </row>
        <row r="1549">
          <cell r="A1549">
            <v>2101000103</v>
          </cell>
          <cell r="B1549" t="str">
            <v>SINAPI - 98510 - PLANTIO DE ARVORE ORNAMENTAL COM ALTURA DE MUDA MENOR OU IGUAL A 2,00 M. AF_05/2018 /UN</v>
          </cell>
          <cell r="C1549">
            <v>0</v>
          </cell>
          <cell r="D1549">
            <v>0</v>
          </cell>
          <cell r="E1549">
            <v>63.25</v>
          </cell>
        </row>
        <row r="1550">
          <cell r="A1550">
            <v>2101000104</v>
          </cell>
          <cell r="B1550" t="str">
            <v>SINAPI - 98511 - PLANTIO DE ARVORE ORNAMENTAL COM ALTURA DE MUDA MAIOR QUE 2,00 M E MENOR OU IGUAL A 4,00 M. AF_05/2018 /UN</v>
          </cell>
          <cell r="C1550">
            <v>0</v>
          </cell>
          <cell r="D1550">
            <v>0</v>
          </cell>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v>0</v>
          </cell>
          <cell r="D1557">
            <v>0</v>
          </cell>
          <cell r="E1557">
            <v>1.41</v>
          </cell>
        </row>
        <row r="1558">
          <cell r="A1558">
            <v>2201000014</v>
          </cell>
          <cell r="B1558" t="str">
            <v>SINAPI - 99814 - LIMPEZA DE SUPERFICIE COM JATO DE ALTA PRESSAO. AF_04/2019 /M2</v>
          </cell>
          <cell r="C1558">
            <v>0</v>
          </cell>
          <cell r="D1558">
            <v>0</v>
          </cell>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v>0</v>
          </cell>
          <cell r="D1567">
            <v>14.55</v>
          </cell>
          <cell r="E1567">
            <v>14.55</v>
          </cell>
        </row>
        <row r="1568">
          <cell r="A1568">
            <v>2301000101</v>
          </cell>
          <cell r="B1568" t="str">
            <v>- JARDINEIRO COM ENCARGOS COMPLEMENTARES /H</v>
          </cell>
          <cell r="C1568">
            <v>0</v>
          </cell>
          <cell r="D1568">
            <v>17.27</v>
          </cell>
          <cell r="E1568">
            <v>17.27</v>
          </cell>
        </row>
        <row r="1569">
          <cell r="A1569">
            <v>2301000104</v>
          </cell>
          <cell r="B1569" t="str">
            <v>- AUXILIAR DE SERVICOS GERAIS COM ENCARGOS COMPLEMENTARES /H</v>
          </cell>
          <cell r="C1569">
            <v>0</v>
          </cell>
          <cell r="D1569">
            <v>15.19</v>
          </cell>
          <cell r="E1569">
            <v>15.19</v>
          </cell>
        </row>
        <row r="1570">
          <cell r="A1570">
            <v>2301000105</v>
          </cell>
          <cell r="B1570" t="str">
            <v>- BLASTER, DINAMITADOR OU CABO DE FOGO COM ENCARGOS COMPLEMENTARES /H</v>
          </cell>
          <cell r="C1570">
            <v>0</v>
          </cell>
          <cell r="D1570">
            <v>18.11</v>
          </cell>
          <cell r="E1570">
            <v>18.11</v>
          </cell>
        </row>
        <row r="1571">
          <cell r="A1571">
            <v>2301000106</v>
          </cell>
          <cell r="B1571" t="str">
            <v>- POCEIRO COM ENCARGOS COMPLEMENTARES /H</v>
          </cell>
          <cell r="C1571">
            <v>0</v>
          </cell>
          <cell r="D1571">
            <v>18.28</v>
          </cell>
          <cell r="E1571">
            <v>18.28</v>
          </cell>
        </row>
        <row r="1572">
          <cell r="A1572">
            <v>2301000108</v>
          </cell>
          <cell r="B1572" t="str">
            <v>- ARMADOR COM ENCARGOS COMPLEMENTARES /H</v>
          </cell>
          <cell r="C1572">
            <v>0</v>
          </cell>
          <cell r="D1572">
            <v>17.739999999999998</v>
          </cell>
          <cell r="E1572">
            <v>17.739999999999998</v>
          </cell>
        </row>
        <row r="1573">
          <cell r="A1573">
            <v>2301000109</v>
          </cell>
          <cell r="B1573" t="str">
            <v>- CARPINTEIRO DE FORMAS COM ENCARGOS COMPLEMENTARES /H</v>
          </cell>
          <cell r="C1573">
            <v>0</v>
          </cell>
          <cell r="D1573">
            <v>17.64</v>
          </cell>
          <cell r="E1573">
            <v>17.64</v>
          </cell>
        </row>
        <row r="1574">
          <cell r="A1574">
            <v>2301000110</v>
          </cell>
          <cell r="B1574" t="str">
            <v>- CALCETEIRO COM ENCARGOS COMPLEMENTARES /H</v>
          </cell>
          <cell r="C1574">
            <v>0</v>
          </cell>
          <cell r="D1574">
            <v>18.739999999999998</v>
          </cell>
          <cell r="E1574">
            <v>18.739999999999998</v>
          </cell>
        </row>
        <row r="1575">
          <cell r="A1575">
            <v>2301000111</v>
          </cell>
          <cell r="B1575" t="str">
            <v>- AZULEJISTA OU LADRILHISTA COM ENCARGOS COMPLEMENTARES /H</v>
          </cell>
          <cell r="C1575">
            <v>0</v>
          </cell>
          <cell r="D1575">
            <v>17.760000000000002</v>
          </cell>
          <cell r="E1575">
            <v>17.760000000000002</v>
          </cell>
        </row>
        <row r="1576">
          <cell r="A1576">
            <v>2301000112</v>
          </cell>
          <cell r="B1576" t="str">
            <v>- PEDREIRO COM ENCARGOS COMPLEMENTARES /H</v>
          </cell>
          <cell r="C1576">
            <v>0</v>
          </cell>
          <cell r="D1576">
            <v>17.82</v>
          </cell>
          <cell r="E1576">
            <v>17.82</v>
          </cell>
        </row>
        <row r="1577">
          <cell r="A1577">
            <v>2301000113</v>
          </cell>
          <cell r="B1577" t="str">
            <v>- TAQUEADOR OU TAQUEIRO COM ENCARGOS COMPLEMENTARES /H</v>
          </cell>
          <cell r="C1577">
            <v>0</v>
          </cell>
          <cell r="D1577">
            <v>20.440000000000001</v>
          </cell>
          <cell r="E1577">
            <v>20.440000000000001</v>
          </cell>
        </row>
        <row r="1578">
          <cell r="A1578">
            <v>2301000114</v>
          </cell>
          <cell r="B1578" t="str">
            <v>- TELHADISTA COM ENCARGOS COMPLEMENTARES /H</v>
          </cell>
          <cell r="C1578">
            <v>0</v>
          </cell>
          <cell r="D1578">
            <v>18.75</v>
          </cell>
          <cell r="E1578">
            <v>18.75</v>
          </cell>
        </row>
        <row r="1579">
          <cell r="A1579">
            <v>2301000119</v>
          </cell>
          <cell r="B1579" t="str">
            <v>- ELETRICISTA COM ENCARGOS COMPLEMENTARES /H</v>
          </cell>
          <cell r="C1579">
            <v>0</v>
          </cell>
          <cell r="D1579">
            <v>19.73</v>
          </cell>
          <cell r="E1579">
            <v>19.73</v>
          </cell>
        </row>
        <row r="1580">
          <cell r="A1580">
            <v>2301000120</v>
          </cell>
          <cell r="B1580" t="str">
            <v>- ENCANADOR COM ENCARGOS COMPLEMENTARES /H</v>
          </cell>
          <cell r="C1580">
            <v>0</v>
          </cell>
          <cell r="D1580">
            <v>17.34</v>
          </cell>
          <cell r="E1580">
            <v>17.34</v>
          </cell>
        </row>
        <row r="1581">
          <cell r="A1581">
            <v>2301000121</v>
          </cell>
          <cell r="B1581" t="str">
            <v>- PINTOR COM ENCARGOS COMPLEMENTARES /H</v>
          </cell>
          <cell r="C1581">
            <v>0</v>
          </cell>
          <cell r="D1581">
            <v>18.829999999999998</v>
          </cell>
          <cell r="E1581">
            <v>18.829999999999998</v>
          </cell>
        </row>
        <row r="1582">
          <cell r="A1582">
            <v>2301000126</v>
          </cell>
          <cell r="B1582" t="str">
            <v>SINAPI - 90781 - TOPOGRAFO COM ENCARGOS COMPLEMENTARES /H</v>
          </cell>
          <cell r="C1582">
            <v>0</v>
          </cell>
          <cell r="D1582">
            <v>18.850000000000001</v>
          </cell>
          <cell r="E1582">
            <v>18.850000000000001</v>
          </cell>
        </row>
        <row r="1583">
          <cell r="A1583">
            <v>2301000130</v>
          </cell>
          <cell r="B1583" t="str">
            <v>SINAPI - 90766 - ALMOXARIFE COM ENCARGOS COMPLEMENTARES /H</v>
          </cell>
          <cell r="C1583">
            <v>0</v>
          </cell>
          <cell r="D1583">
            <v>14.2</v>
          </cell>
          <cell r="E1583">
            <v>14.2</v>
          </cell>
        </row>
        <row r="1584">
          <cell r="A1584">
            <v>2301000132</v>
          </cell>
          <cell r="B1584" t="str">
            <v>SINAPI - 90767 - APONTADOR OU APROPRIADOR COM ENCARGOS COMPLEMENTARES /H</v>
          </cell>
          <cell r="C1584">
            <v>0</v>
          </cell>
          <cell r="D1584">
            <v>13.72</v>
          </cell>
          <cell r="E1584">
            <v>13.72</v>
          </cell>
        </row>
        <row r="1585">
          <cell r="A1585">
            <v>2301000134</v>
          </cell>
          <cell r="B1585" t="str">
            <v>SINAPI - 88253 - AUXILIAR DE TOPOGRAFO COM ENCARGOS COMPLEMENTARES /H</v>
          </cell>
          <cell r="C1585">
            <v>0</v>
          </cell>
          <cell r="D1585">
            <v>8.4</v>
          </cell>
          <cell r="E1585">
            <v>8.4</v>
          </cell>
        </row>
        <row r="1586">
          <cell r="A1586">
            <v>2301000136</v>
          </cell>
          <cell r="B1586" t="str">
            <v>SINAPI - 90776 - ENCARREGADO GERAL COM ENCARGOS COMPLEMENTARES /H</v>
          </cell>
          <cell r="C1586">
            <v>0</v>
          </cell>
          <cell r="D1586">
            <v>15.94</v>
          </cell>
          <cell r="E1586">
            <v>15.94</v>
          </cell>
        </row>
        <row r="1587">
          <cell r="A1587">
            <v>2301000138</v>
          </cell>
          <cell r="B1587" t="str">
            <v>SINAPI - 90777 - ENGENHEIRO CIVIL DE OBRA JUNIOR COM ENCARGOS COMPLEMENTARES /H</v>
          </cell>
          <cell r="C1587">
            <v>0</v>
          </cell>
          <cell r="D1587">
            <v>79.75</v>
          </cell>
          <cell r="E1587">
            <v>79.75</v>
          </cell>
        </row>
        <row r="1588">
          <cell r="A1588">
            <v>2301000140</v>
          </cell>
          <cell r="B1588" t="str">
            <v>SINAPI - 90778 - ENGENHEIRO CIVIL DE OBRA PLENO COM ENCARGOS COMPLEMENTARES /H</v>
          </cell>
          <cell r="C1588">
            <v>0</v>
          </cell>
          <cell r="D1588">
            <v>90.6</v>
          </cell>
          <cell r="E1588">
            <v>90.6</v>
          </cell>
        </row>
        <row r="1589">
          <cell r="A1589">
            <v>2301000142</v>
          </cell>
          <cell r="B1589" t="str">
            <v>SINAPI - 90779 - ENGENHEIRO CIVIL DE OBRA SENIOR COM ENCARGOS COMPLEMENTARES /H</v>
          </cell>
          <cell r="C1589">
            <v>0</v>
          </cell>
          <cell r="D1589">
            <v>123.43</v>
          </cell>
          <cell r="E1589">
            <v>123.43</v>
          </cell>
        </row>
        <row r="1590">
          <cell r="A1590">
            <v>2301000144</v>
          </cell>
          <cell r="B1590" t="str">
            <v>SINAPI - 90780 - MESTRE DE OBRAS COM ENCARGOS COMPLEMENTARES /H</v>
          </cell>
          <cell r="C1590">
            <v>0</v>
          </cell>
          <cell r="D1590">
            <v>23.36</v>
          </cell>
          <cell r="E1590">
            <v>23.36</v>
          </cell>
        </row>
        <row r="1591">
          <cell r="A1591">
            <v>2301000146</v>
          </cell>
          <cell r="B1591" t="str">
            <v>SINAPI - 88296 - OPERADOR DE GUINDASTE COM ENCARGHOS COMPLEMENTARES /H</v>
          </cell>
          <cell r="C1591">
            <v>0</v>
          </cell>
          <cell r="D1591">
            <v>19.190000000000001</v>
          </cell>
          <cell r="E1591">
            <v>19.190000000000001</v>
          </cell>
        </row>
        <row r="1592">
          <cell r="A1592">
            <v>2301000148</v>
          </cell>
          <cell r="B1592" t="str">
            <v>SINAPI - 88326 - VIGIA NOTURNO COM ENCARGOS COMPLEMENTARES /H</v>
          </cell>
          <cell r="C1592">
            <v>0</v>
          </cell>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0"/>
  <sheetViews>
    <sheetView topLeftCell="C1" workbookViewId="0"/>
  </sheetViews>
  <sheetFormatPr defaultColWidth="0" defaultRowHeight="12.75" zeroHeight="1"/>
  <cols>
    <col min="1" max="1" width="0" style="89" hidden="1" customWidth="1"/>
    <col min="2" max="2" width="9.140625" style="89" hidden="1" customWidth="1"/>
    <col min="3" max="3" width="55.7109375" style="89" customWidth="1"/>
    <col min="4" max="4" width="54.7109375" style="89" customWidth="1"/>
    <col min="5" max="8" width="9.140625" style="89" hidden="1" customWidth="1"/>
    <col min="9" max="9" width="0" style="89" hidden="1" customWidth="1"/>
    <col min="10" max="16384" width="0" style="89" hidden="1"/>
  </cols>
  <sheetData>
    <row r="1" spans="3:4"/>
    <row r="2" spans="3:4"/>
    <row r="3" spans="3:4"/>
    <row r="4" spans="3:4"/>
    <row r="5" spans="3:4"/>
    <row r="6" spans="3:4" ht="14.25">
      <c r="C6" s="891" t="s">
        <v>200</v>
      </c>
      <c r="D6" s="892"/>
    </row>
    <row r="7" spans="3:4">
      <c r="C7" s="161" t="s">
        <v>186</v>
      </c>
      <c r="D7" s="174" t="s">
        <v>248</v>
      </c>
    </row>
    <row r="8" spans="3:4">
      <c r="C8" s="162" t="s">
        <v>187</v>
      </c>
      <c r="D8" s="175" t="s">
        <v>281</v>
      </c>
    </row>
    <row r="9" spans="3:4">
      <c r="C9" s="163" t="s">
        <v>197</v>
      </c>
      <c r="D9" s="176"/>
    </row>
    <row r="10" spans="3:4">
      <c r="C10" s="164"/>
      <c r="D10" s="165"/>
    </row>
    <row r="11" spans="3:4">
      <c r="C11" s="893" t="s">
        <v>199</v>
      </c>
      <c r="D11" s="894"/>
    </row>
    <row r="12" spans="3:4">
      <c r="C12" s="166" t="s">
        <v>198</v>
      </c>
      <c r="D12" s="177" t="s">
        <v>282</v>
      </c>
    </row>
    <row r="13" spans="3:4">
      <c r="C13" s="167" t="s">
        <v>194</v>
      </c>
      <c r="D13" s="178" t="s">
        <v>356</v>
      </c>
    </row>
    <row r="14" spans="3:4">
      <c r="C14" s="168" t="s">
        <v>195</v>
      </c>
      <c r="D14" s="179" t="s">
        <v>196</v>
      </c>
    </row>
    <row r="15" spans="3:4">
      <c r="C15" s="169" t="s">
        <v>206</v>
      </c>
      <c r="D15" s="605" t="s">
        <v>354</v>
      </c>
    </row>
    <row r="16" spans="3:4">
      <c r="C16" s="170"/>
      <c r="D16" s="171"/>
    </row>
    <row r="17" spans="3:4">
      <c r="C17" s="893" t="s">
        <v>201</v>
      </c>
      <c r="D17" s="894"/>
    </row>
    <row r="18" spans="3:4">
      <c r="C18" s="166" t="s">
        <v>203</v>
      </c>
      <c r="D18" s="180" t="s">
        <v>349</v>
      </c>
    </row>
    <row r="19" spans="3:4">
      <c r="C19" s="166" t="s">
        <v>210</v>
      </c>
      <c r="D19" s="180" t="s">
        <v>352</v>
      </c>
    </row>
    <row r="20" spans="3:4">
      <c r="C20" s="167" t="s">
        <v>183</v>
      </c>
      <c r="D20" s="604" t="s">
        <v>353</v>
      </c>
    </row>
    <row r="21" spans="3:4">
      <c r="C21" s="167" t="s">
        <v>184</v>
      </c>
      <c r="D21" s="181" t="s">
        <v>185</v>
      </c>
    </row>
    <row r="22" spans="3:4">
      <c r="C22" s="169" t="s">
        <v>205</v>
      </c>
      <c r="D22" s="182">
        <f ca="1">TODAY()</f>
        <v>44396</v>
      </c>
    </row>
    <row r="23" spans="3:4">
      <c r="C23" s="170"/>
      <c r="D23" s="172"/>
    </row>
    <row r="24" spans="3:4">
      <c r="C24" s="893" t="s">
        <v>202</v>
      </c>
      <c r="D24" s="894"/>
    </row>
    <row r="25" spans="3:4">
      <c r="C25" s="166" t="s">
        <v>203</v>
      </c>
      <c r="D25" s="180" t="str">
        <f>VLOOKUP(D7,referencia!A3:B9,2,FALSE)</f>
        <v>RHAIZA REJANE NEME DE MATOS</v>
      </c>
    </row>
    <row r="26" spans="3:4">
      <c r="C26" s="173" t="s">
        <v>204</v>
      </c>
      <c r="D26" s="183" t="s">
        <v>18</v>
      </c>
    </row>
    <row r="27" spans="3:4" ht="15.75" hidden="1">
      <c r="C27" s="152"/>
      <c r="D27" s="151"/>
    </row>
    <row r="28" spans="3:4" ht="15.75" hidden="1">
      <c r="C28" s="152"/>
      <c r="D28" s="151"/>
    </row>
    <row r="30" spans="3:4" hidden="1">
      <c r="D30" s="153"/>
    </row>
  </sheetData>
  <sheetProtection selectLockedCells="1"/>
  <mergeCells count="4">
    <mergeCell ref="C6:D6"/>
    <mergeCell ref="C11:D11"/>
    <mergeCell ref="C17:D17"/>
    <mergeCell ref="C24:D24"/>
  </mergeCells>
  <dataValidations count="2">
    <dataValidation allowBlank="1" showErrorMessage="1" sqref="D15"/>
    <dataValidation type="decimal" allowBlank="1" showErrorMessage="1" error="Digite um valor em percentual._x000a__x000a_Ou seja um valor de 0% (zero) até 100% (cem). " sqref="D10">
      <formula1>0</formula1>
      <formula2>1</formula2>
    </dataValidation>
  </dataValidations>
  <pageMargins left="0.511811024" right="0.511811024" top="0.78740157499999996" bottom="0.78740157499999996" header="0.31496062000000002" footer="0.31496062000000002"/>
  <ignoredErrors>
    <ignoredError sqref="D22" unlockedFormula="1"/>
  </ignoredErrors>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referencia!$A$3:$A$9</xm:f>
          </x14:formula1>
          <xm:sqref>D7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34"/>
  <sheetViews>
    <sheetView workbookViewId="0"/>
  </sheetViews>
  <sheetFormatPr defaultColWidth="9.140625" defaultRowHeight="12.75"/>
  <cols>
    <col min="1" max="1" width="18.28515625" style="89" customWidth="1"/>
    <col min="2" max="2" width="49.42578125" style="89" customWidth="1"/>
    <col min="3" max="3" width="16.140625" style="89" customWidth="1"/>
    <col min="4" max="4" width="14.5703125" style="109" customWidth="1"/>
    <col min="5" max="5" width="13.28515625" style="89" bestFit="1" customWidth="1"/>
    <col min="6" max="6" width="15.140625" style="89" customWidth="1"/>
    <col min="7" max="16384" width="9.140625" style="89"/>
  </cols>
  <sheetData>
    <row r="1" spans="1:6" ht="15.75">
      <c r="A1" s="21"/>
      <c r="B1" s="22"/>
      <c r="C1" s="22"/>
      <c r="D1" s="131"/>
      <c r="E1" s="31"/>
      <c r="F1" s="23"/>
    </row>
    <row r="2" spans="1:6" ht="15.75">
      <c r="A2" s="1037"/>
      <c r="B2" s="1038"/>
      <c r="C2" s="1038"/>
      <c r="D2" s="132"/>
      <c r="E2" s="26"/>
      <c r="F2" s="25"/>
    </row>
    <row r="3" spans="1:6" ht="15.75">
      <c r="A3" s="159" t="str">
        <f>CONCATENATE("PROJETO: ",DADOS!D12)</f>
        <v>PROJETO: REFORMA CRECHE EVA MORAES DE OLIVEIRA</v>
      </c>
      <c r="B3" s="545"/>
      <c r="C3" s="125"/>
      <c r="D3" s="127"/>
      <c r="E3" s="101"/>
      <c r="F3" s="100"/>
    </row>
    <row r="4" spans="1:6" ht="14.25">
      <c r="A4" s="160" t="str">
        <f>CONCATENATE("LOCAL: ",DADOS!D8)</f>
        <v>LOCAL: AV. PONTA PORÃ, 858 - NAVIRAÍ</v>
      </c>
      <c r="B4" s="137"/>
      <c r="C4" s="20"/>
      <c r="D4" s="133"/>
      <c r="E4" s="29"/>
      <c r="F4" s="28"/>
    </row>
    <row r="5" spans="1:6" ht="14.25">
      <c r="A5" s="158" t="str">
        <f>DADOS!D7</f>
        <v>PREFEITURA MUNICIPAL DE NAVIRAÍ</v>
      </c>
      <c r="B5" s="6"/>
      <c r="C5" s="126"/>
      <c r="D5" s="134"/>
      <c r="E5" s="30"/>
      <c r="F5" s="7"/>
    </row>
    <row r="6" spans="1:6">
      <c r="A6" s="27"/>
      <c r="B6" s="7"/>
      <c r="C6" s="20"/>
      <c r="D6" s="140"/>
      <c r="E6" s="102"/>
      <c r="F6" s="20"/>
    </row>
    <row r="7" spans="1:6" ht="18.75">
      <c r="A7" s="1039" t="s">
        <v>42</v>
      </c>
      <c r="B7" s="1040"/>
      <c r="C7" s="1040"/>
      <c r="D7" s="1040"/>
      <c r="E7" s="1041"/>
      <c r="F7" s="116"/>
    </row>
    <row r="8" spans="1:6" ht="18.75">
      <c r="A8" s="128"/>
      <c r="B8" s="106"/>
      <c r="C8" s="106"/>
      <c r="D8" s="106"/>
      <c r="E8" s="129"/>
      <c r="F8" s="116"/>
    </row>
    <row r="9" spans="1:6" ht="14.25" customHeight="1">
      <c r="A9" s="120" t="s">
        <v>153</v>
      </c>
      <c r="B9" s="138" t="s">
        <v>155</v>
      </c>
      <c r="C9" s="138" t="s">
        <v>156</v>
      </c>
      <c r="D9" s="138" t="s">
        <v>157</v>
      </c>
      <c r="E9" s="139" t="s">
        <v>158</v>
      </c>
      <c r="F9" s="115"/>
    </row>
    <row r="10" spans="1:6">
      <c r="A10" s="460" t="s">
        <v>166</v>
      </c>
      <c r="B10" s="458"/>
      <c r="C10" s="458"/>
      <c r="D10" s="528"/>
      <c r="E10" s="461"/>
      <c r="F10" s="115"/>
    </row>
    <row r="11" spans="1:6">
      <c r="A11" s="460" t="s">
        <v>167</v>
      </c>
      <c r="B11" s="459"/>
      <c r="C11" s="459"/>
      <c r="D11" s="459"/>
      <c r="E11" s="462"/>
      <c r="F11" s="115"/>
    </row>
    <row r="12" spans="1:6">
      <c r="A12" s="460" t="s">
        <v>168</v>
      </c>
      <c r="B12" s="530"/>
      <c r="C12" s="530"/>
      <c r="D12" s="530"/>
      <c r="E12" s="462"/>
      <c r="F12" s="115"/>
    </row>
    <row r="13" spans="1:6">
      <c r="A13" s="460" t="s">
        <v>263</v>
      </c>
      <c r="B13" s="526"/>
      <c r="C13" s="527"/>
      <c r="D13" s="528"/>
      <c r="E13" s="529"/>
      <c r="F13" s="115"/>
    </row>
    <row r="14" spans="1:6">
      <c r="A14" s="460" t="s">
        <v>264</v>
      </c>
      <c r="B14" s="526"/>
      <c r="C14" s="527"/>
      <c r="D14" s="527"/>
      <c r="E14" s="529"/>
      <c r="F14" s="115"/>
    </row>
    <row r="15" spans="1:6">
      <c r="A15" s="460" t="s">
        <v>265</v>
      </c>
      <c r="B15" s="526"/>
      <c r="C15" s="527"/>
      <c r="D15" s="527"/>
      <c r="E15" s="529"/>
      <c r="F15" s="115"/>
    </row>
    <row r="16" spans="1:6">
      <c r="A16" s="1042"/>
      <c r="B16" s="1043"/>
      <c r="C16" s="1043"/>
      <c r="D16" s="1043"/>
      <c r="E16" s="1044"/>
      <c r="F16" s="115"/>
    </row>
    <row r="17" spans="1:5" s="1" customFormat="1">
      <c r="A17" s="121" t="s">
        <v>159</v>
      </c>
      <c r="B17" s="477" t="s">
        <v>152</v>
      </c>
      <c r="C17" s="117" t="s">
        <v>160</v>
      </c>
      <c r="D17" s="117" t="s">
        <v>162</v>
      </c>
      <c r="E17" s="122" t="s">
        <v>161</v>
      </c>
    </row>
    <row r="18" spans="1:5" s="1" customFormat="1">
      <c r="A18" s="123" t="s">
        <v>154</v>
      </c>
      <c r="B18" s="130"/>
      <c r="C18" s="118" t="s">
        <v>262</v>
      </c>
      <c r="D18" s="119">
        <v>44278</v>
      </c>
      <c r="E18" s="534" t="str">
        <f>IF(SUM(D20:E22)&lt;&gt;0,MEDIAN(D20:E22),"")</f>
        <v/>
      </c>
    </row>
    <row r="19" spans="1:5" s="1" customFormat="1">
      <c r="A19" s="124" t="s">
        <v>163</v>
      </c>
      <c r="B19" s="1028" t="s">
        <v>164</v>
      </c>
      <c r="C19" s="1029"/>
      <c r="D19" s="1030" t="s">
        <v>165</v>
      </c>
      <c r="E19" s="1031"/>
    </row>
    <row r="20" spans="1:5" s="1" customFormat="1">
      <c r="A20" s="460" t="s">
        <v>263</v>
      </c>
      <c r="B20" s="1032">
        <f>VLOOKUP(A20,$A$10:$E$15,3,)</f>
        <v>0</v>
      </c>
      <c r="C20" s="1032"/>
      <c r="D20" s="1033"/>
      <c r="E20" s="1034"/>
    </row>
    <row r="21" spans="1:5" s="1" customFormat="1">
      <c r="A21" s="460" t="s">
        <v>264</v>
      </c>
      <c r="B21" s="1032">
        <f t="shared" ref="B21:B22" si="0">VLOOKUP(A21,$A$10:$E$15,3,)</f>
        <v>0</v>
      </c>
      <c r="C21" s="1032"/>
      <c r="D21" s="1033"/>
      <c r="E21" s="1034"/>
    </row>
    <row r="22" spans="1:5" s="1" customFormat="1">
      <c r="A22" s="532" t="s">
        <v>265</v>
      </c>
      <c r="B22" s="1036">
        <f t="shared" si="0"/>
        <v>0</v>
      </c>
      <c r="C22" s="1036"/>
      <c r="D22" s="1033"/>
      <c r="E22" s="1034"/>
    </row>
    <row r="23" spans="1:5">
      <c r="A23" s="455"/>
      <c r="B23" s="448"/>
      <c r="C23" s="448"/>
      <c r="D23" s="456"/>
      <c r="E23" s="457"/>
    </row>
    <row r="24" spans="1:5">
      <c r="A24" s="447"/>
      <c r="B24" s="448"/>
      <c r="C24" s="448"/>
      <c r="D24" s="449"/>
      <c r="E24" s="450"/>
    </row>
    <row r="25" spans="1:5">
      <c r="A25" s="17">
        <f>COMPOSIÇÕES!A79</f>
        <v>0</v>
      </c>
      <c r="B25" s="20"/>
      <c r="C25" s="20"/>
      <c r="D25" s="440"/>
      <c r="E25" s="102"/>
    </row>
    <row r="26" spans="1:5">
      <c r="A26" s="17"/>
      <c r="B26" s="20"/>
      <c r="C26" s="20"/>
      <c r="D26" s="440"/>
      <c r="E26" s="102"/>
    </row>
    <row r="27" spans="1:5" ht="15.75" customHeight="1">
      <c r="A27" s="17"/>
      <c r="B27" s="20"/>
      <c r="C27" s="20"/>
      <c r="D27" s="440"/>
      <c r="E27" s="102"/>
    </row>
    <row r="28" spans="1:5">
      <c r="A28" s="17"/>
      <c r="B28" s="20"/>
      <c r="C28" s="20"/>
      <c r="D28" s="440"/>
      <c r="E28" s="102"/>
    </row>
    <row r="29" spans="1:5">
      <c r="A29" s="17"/>
      <c r="B29" s="20"/>
      <c r="C29" s="20"/>
      <c r="D29" s="440"/>
      <c r="E29" s="102"/>
    </row>
    <row r="30" spans="1:5" ht="15.75">
      <c r="A30" s="934" t="s">
        <v>150</v>
      </c>
      <c r="B30" s="935"/>
      <c r="C30" s="935"/>
      <c r="D30" s="935"/>
      <c r="E30" s="1035"/>
    </row>
    <row r="31" spans="1:5" ht="15.75">
      <c r="A31" s="1016" t="s">
        <v>351</v>
      </c>
      <c r="B31" s="1017"/>
      <c r="C31" s="1017"/>
      <c r="D31" s="1017"/>
      <c r="E31" s="1045"/>
    </row>
    <row r="32" spans="1:5" ht="15.75">
      <c r="A32" s="1019" t="s">
        <v>350</v>
      </c>
      <c r="B32" s="1020"/>
      <c r="C32" s="1020"/>
      <c r="D32" s="1020"/>
      <c r="E32" s="1046"/>
    </row>
    <row r="33" spans="1:5" ht="15.75">
      <c r="A33" s="923"/>
      <c r="B33" s="924"/>
      <c r="C33" s="924"/>
      <c r="D33" s="924"/>
      <c r="E33" s="1027"/>
    </row>
    <row r="34" spans="1:5" ht="13.5" thickBot="1">
      <c r="A34" s="19"/>
      <c r="B34" s="107"/>
      <c r="C34" s="107"/>
      <c r="D34" s="135"/>
      <c r="E34" s="108"/>
    </row>
  </sheetData>
  <dataConsolidate link="1"/>
  <mergeCells count="15">
    <mergeCell ref="A2:C2"/>
    <mergeCell ref="A7:E7"/>
    <mergeCell ref="A16:E16"/>
    <mergeCell ref="A31:E31"/>
    <mergeCell ref="A32:E32"/>
    <mergeCell ref="A33:E33"/>
    <mergeCell ref="B19:C19"/>
    <mergeCell ref="D19:E19"/>
    <mergeCell ref="B20:C20"/>
    <mergeCell ref="D20:E20"/>
    <mergeCell ref="B21:C21"/>
    <mergeCell ref="D21:E21"/>
    <mergeCell ref="A30:E30"/>
    <mergeCell ref="B22:C22"/>
    <mergeCell ref="D22:E22"/>
  </mergeCells>
  <phoneticPr fontId="45" type="noConversion"/>
  <dataValidations disablePrompts="1" count="1">
    <dataValidation type="list" allowBlank="1" showInputMessage="1" showErrorMessage="1" sqref="A24">
      <formula1>$A$10:$A$12</formula1>
    </dataValidation>
  </dataValidations>
  <printOptions horizontalCentered="1"/>
  <pageMargins left="0.51181102362204722" right="0.51181102362204722" top="0.39370078740157483" bottom="0.11811023622047245" header="0.31496062992125984" footer="0.31496062992125984"/>
  <pageSetup paperSize="9" scale="84"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workbookViewId="0"/>
  </sheetViews>
  <sheetFormatPr defaultRowHeight="12.75"/>
  <cols>
    <col min="1" max="1" width="9.140625" style="11"/>
    <col min="2" max="2" width="24.85546875" bestFit="1" customWidth="1"/>
    <col min="3" max="3" width="10.5703125" bestFit="1" customWidth="1"/>
    <col min="4" max="4" width="8" bestFit="1" customWidth="1"/>
    <col min="5" max="5" width="11.140625" bestFit="1" customWidth="1"/>
    <col min="6" max="6" width="6.140625" bestFit="1" customWidth="1"/>
    <col min="9" max="9" width="12.28515625" bestFit="1" customWidth="1"/>
    <col min="12" max="12" width="11" bestFit="1" customWidth="1"/>
  </cols>
  <sheetData>
    <row r="1" spans="2:12" s="11" customFormat="1"/>
    <row r="2" spans="2:12">
      <c r="B2" s="1047" t="s">
        <v>19</v>
      </c>
      <c r="C2" s="1047"/>
      <c r="D2" s="1047"/>
      <c r="E2" s="1047"/>
      <c r="F2" s="1047"/>
      <c r="H2" s="1049"/>
      <c r="I2" s="1049"/>
      <c r="J2" s="1049"/>
      <c r="K2" s="1049"/>
      <c r="L2" s="1049"/>
    </row>
    <row r="3" spans="2:12">
      <c r="B3" s="56" t="s">
        <v>128</v>
      </c>
      <c r="C3" s="56" t="s">
        <v>99</v>
      </c>
      <c r="D3" s="56" t="s">
        <v>100</v>
      </c>
      <c r="E3" s="56" t="s">
        <v>117</v>
      </c>
      <c r="F3" s="56" t="s">
        <v>77</v>
      </c>
      <c r="H3" s="37"/>
      <c r="I3" s="34"/>
      <c r="J3" s="38"/>
      <c r="K3" s="34"/>
      <c r="L3" s="34"/>
    </row>
    <row r="4" spans="2:12">
      <c r="B4" s="56" t="s">
        <v>55</v>
      </c>
      <c r="C4" s="50">
        <v>5.95</v>
      </c>
      <c r="D4" s="50">
        <v>3</v>
      </c>
      <c r="E4" s="50"/>
      <c r="F4" s="50">
        <f>C4*D4</f>
        <v>17.850000000000001</v>
      </c>
      <c r="H4" s="37"/>
    </row>
    <row r="5" spans="2:12">
      <c r="B5" s="56" t="s">
        <v>56</v>
      </c>
      <c r="C5" s="50">
        <v>0.8</v>
      </c>
      <c r="D5" s="50">
        <v>2.1</v>
      </c>
      <c r="E5" s="50"/>
      <c r="F5" s="50">
        <f>C5*D5</f>
        <v>1.6800000000000002</v>
      </c>
    </row>
    <row r="6" spans="2:12">
      <c r="B6" s="56" t="s">
        <v>57</v>
      </c>
      <c r="C6" s="50">
        <v>1.5</v>
      </c>
      <c r="D6" s="50">
        <v>3</v>
      </c>
      <c r="E6" s="50">
        <f>1.3*0.6</f>
        <v>0.78</v>
      </c>
      <c r="F6" s="50">
        <f t="shared" ref="F6:F17" si="0">(C6*D6)-E6</f>
        <v>3.7199999999999998</v>
      </c>
    </row>
    <row r="7" spans="2:12">
      <c r="B7" s="56" t="s">
        <v>58</v>
      </c>
      <c r="C7" s="50">
        <v>1.6</v>
      </c>
      <c r="D7" s="50">
        <v>2.1</v>
      </c>
      <c r="E7" s="50"/>
      <c r="F7" s="50">
        <f t="shared" si="0"/>
        <v>3.3600000000000003</v>
      </c>
      <c r="J7" s="39"/>
    </row>
    <row r="8" spans="2:12">
      <c r="B8" s="56" t="s">
        <v>59</v>
      </c>
      <c r="C8" s="50">
        <v>1</v>
      </c>
      <c r="D8" s="50">
        <v>2.1</v>
      </c>
      <c r="E8" s="50"/>
      <c r="F8" s="50">
        <f t="shared" si="0"/>
        <v>2.1</v>
      </c>
    </row>
    <row r="9" spans="2:12">
      <c r="B9" s="56" t="s">
        <v>60</v>
      </c>
      <c r="C9" s="50">
        <v>7.1</v>
      </c>
      <c r="D9" s="50">
        <v>3</v>
      </c>
      <c r="E9" s="50">
        <v>0.6</v>
      </c>
      <c r="F9" s="50">
        <f t="shared" si="0"/>
        <v>20.699999999999996</v>
      </c>
    </row>
    <row r="10" spans="2:12">
      <c r="B10" s="56" t="s">
        <v>61</v>
      </c>
      <c r="C10" s="50">
        <f>3.45+2.65*2</f>
        <v>8.75</v>
      </c>
      <c r="D10" s="50">
        <v>3</v>
      </c>
      <c r="E10" s="50">
        <v>1.5</v>
      </c>
      <c r="F10" s="50">
        <f t="shared" si="0"/>
        <v>24.75</v>
      </c>
    </row>
    <row r="11" spans="2:12">
      <c r="B11" s="56" t="s">
        <v>62</v>
      </c>
      <c r="C11" s="50">
        <v>3.45</v>
      </c>
      <c r="D11" s="50">
        <v>3</v>
      </c>
      <c r="E11" s="50"/>
      <c r="F11" s="50">
        <f t="shared" si="0"/>
        <v>10.350000000000001</v>
      </c>
    </row>
    <row r="12" spans="2:12">
      <c r="B12" s="56" t="s">
        <v>63</v>
      </c>
      <c r="C12" s="50">
        <v>1.2</v>
      </c>
      <c r="D12" s="50">
        <v>3</v>
      </c>
      <c r="E12" s="50">
        <f>0.8*2.1</f>
        <v>1.6800000000000002</v>
      </c>
      <c r="F12" s="50">
        <f t="shared" si="0"/>
        <v>1.9199999999999995</v>
      </c>
    </row>
    <row r="13" spans="2:12">
      <c r="B13" s="56" t="s">
        <v>64</v>
      </c>
      <c r="C13" s="50">
        <v>1.1000000000000001</v>
      </c>
      <c r="D13" s="50">
        <v>2.1</v>
      </c>
      <c r="E13" s="50"/>
      <c r="F13" s="50">
        <f t="shared" si="0"/>
        <v>2.3100000000000005</v>
      </c>
    </row>
    <row r="14" spans="2:12">
      <c r="B14" s="56" t="s">
        <v>65</v>
      </c>
      <c r="C14" s="50">
        <f>2.25+1.2+0.75</f>
        <v>4.2</v>
      </c>
      <c r="D14" s="50">
        <v>3</v>
      </c>
      <c r="E14" s="50">
        <f>0.7*2.1</f>
        <v>1.47</v>
      </c>
      <c r="F14" s="50">
        <f t="shared" si="0"/>
        <v>11.13</v>
      </c>
    </row>
    <row r="15" spans="2:12">
      <c r="B15" s="57" t="s">
        <v>66</v>
      </c>
      <c r="C15" s="50">
        <f>1.85</f>
        <v>1.85</v>
      </c>
      <c r="D15" s="50">
        <v>3</v>
      </c>
      <c r="E15" s="50"/>
      <c r="F15" s="50">
        <f t="shared" si="0"/>
        <v>5.5500000000000007</v>
      </c>
    </row>
    <row r="16" spans="2:12">
      <c r="B16" s="57" t="s">
        <v>67</v>
      </c>
      <c r="C16" s="50">
        <v>0.7</v>
      </c>
      <c r="D16" s="50">
        <v>2.1</v>
      </c>
      <c r="E16" s="50"/>
      <c r="F16" s="50">
        <f t="shared" si="0"/>
        <v>1.47</v>
      </c>
    </row>
    <row r="17" spans="2:7">
      <c r="B17" s="57" t="s">
        <v>68</v>
      </c>
      <c r="C17" s="50">
        <v>2.2999999999999998</v>
      </c>
      <c r="D17" s="50">
        <v>3</v>
      </c>
      <c r="E17" s="50"/>
      <c r="F17" s="50">
        <f t="shared" si="0"/>
        <v>6.8999999999999995</v>
      </c>
    </row>
    <row r="18" spans="2:7">
      <c r="B18" s="57" t="s">
        <v>69</v>
      </c>
      <c r="C18" s="50">
        <v>1.5</v>
      </c>
      <c r="D18" s="50">
        <v>3</v>
      </c>
      <c r="E18" s="50"/>
      <c r="F18" s="50">
        <f>(C18*D18)-E18+1.68</f>
        <v>6.18</v>
      </c>
    </row>
    <row r="19" spans="2:7">
      <c r="B19" s="57" t="s">
        <v>70</v>
      </c>
      <c r="C19" s="50">
        <f>10.85+1.93*3+2.89</f>
        <v>19.53</v>
      </c>
      <c r="D19" s="50">
        <v>3</v>
      </c>
      <c r="E19" s="50"/>
      <c r="F19" s="50">
        <f>(C19*D19)-E19</f>
        <v>58.59</v>
      </c>
    </row>
    <row r="20" spans="2:7">
      <c r="B20" s="57" t="s">
        <v>71</v>
      </c>
      <c r="C20" s="50">
        <f>2.51+2</f>
        <v>4.51</v>
      </c>
      <c r="D20" s="50">
        <v>3</v>
      </c>
      <c r="E20" s="50"/>
      <c r="F20" s="50">
        <f>(C20*D20)-E20</f>
        <v>13.53</v>
      </c>
    </row>
    <row r="21" spans="2:7">
      <c r="B21" s="57" t="s">
        <v>72</v>
      </c>
      <c r="C21" s="50">
        <v>2.25</v>
      </c>
      <c r="D21" s="50">
        <v>3</v>
      </c>
      <c r="E21" s="50"/>
      <c r="F21" s="50">
        <f>(C21*D21)-E21</f>
        <v>6.75</v>
      </c>
    </row>
    <row r="22" spans="2:7">
      <c r="B22" s="1048" t="s">
        <v>36</v>
      </c>
      <c r="C22" s="1048"/>
      <c r="D22" s="1048"/>
      <c r="E22" s="1048"/>
      <c r="F22" s="58">
        <f>SUM(F4:F21)</f>
        <v>198.84</v>
      </c>
      <c r="G22" s="47" t="s">
        <v>11</v>
      </c>
    </row>
    <row r="23" spans="2:7">
      <c r="B23" s="1048" t="s">
        <v>73</v>
      </c>
      <c r="C23" s="1048"/>
      <c r="D23" s="1048"/>
      <c r="E23" s="1048"/>
      <c r="F23" s="48">
        <v>203.35</v>
      </c>
      <c r="G23" s="47" t="s">
        <v>11</v>
      </c>
    </row>
    <row r="24" spans="2:7" ht="15" customHeight="1">
      <c r="B24" s="1050" t="s">
        <v>74</v>
      </c>
      <c r="C24" s="1050"/>
      <c r="D24" s="1050"/>
      <c r="E24" s="1050"/>
      <c r="F24" s="1050"/>
      <c r="G24" s="41"/>
    </row>
    <row r="25" spans="2:7">
      <c r="B25" s="36"/>
      <c r="C25" s="35"/>
      <c r="D25" s="35"/>
      <c r="E25" s="35"/>
      <c r="F25" s="35"/>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7"/>
  <sheetViews>
    <sheetView workbookViewId="0"/>
  </sheetViews>
  <sheetFormatPr defaultRowHeight="12.75"/>
  <cols>
    <col min="2" max="2" width="36.7109375" customWidth="1"/>
    <col min="3" max="3" width="10.5703125" customWidth="1"/>
    <col min="5" max="5" width="14.42578125" style="11" bestFit="1" customWidth="1"/>
    <col min="6" max="6" width="19.7109375" customWidth="1"/>
    <col min="8" max="8" width="28" bestFit="1" customWidth="1"/>
    <col min="9" max="9" width="28.28515625" customWidth="1"/>
    <col min="11" max="11" width="38.140625" customWidth="1"/>
  </cols>
  <sheetData>
    <row r="1" spans="1:13" s="11" customFormat="1"/>
    <row r="2" spans="1:13">
      <c r="A2" s="40"/>
      <c r="B2" s="1052" t="s">
        <v>98</v>
      </c>
      <c r="C2" s="1052"/>
      <c r="D2" s="1052"/>
      <c r="E2" s="1052"/>
      <c r="F2" s="1052"/>
      <c r="H2" s="1052" t="s">
        <v>104</v>
      </c>
      <c r="I2" s="1052"/>
      <c r="K2" s="1056" t="s">
        <v>75</v>
      </c>
      <c r="L2" s="1057"/>
    </row>
    <row r="3" spans="1:13">
      <c r="B3" s="59" t="s">
        <v>76</v>
      </c>
      <c r="C3" s="60" t="s">
        <v>99</v>
      </c>
      <c r="D3" s="61" t="s">
        <v>100</v>
      </c>
      <c r="E3" s="74" t="s">
        <v>116</v>
      </c>
      <c r="F3" s="61" t="s">
        <v>77</v>
      </c>
      <c r="H3" s="59" t="s">
        <v>76</v>
      </c>
      <c r="I3" s="61" t="s">
        <v>77</v>
      </c>
      <c r="K3" s="63" t="s">
        <v>76</v>
      </c>
      <c r="L3" s="64" t="s">
        <v>77</v>
      </c>
    </row>
    <row r="4" spans="1:13">
      <c r="A4" s="35"/>
      <c r="B4" s="48" t="s">
        <v>78</v>
      </c>
      <c r="C4" s="49">
        <f>9.6</f>
        <v>9.6</v>
      </c>
      <c r="D4" s="50">
        <v>3</v>
      </c>
      <c r="E4" s="49">
        <f>(0.8*0.6)+(0.9*2.1)</f>
        <v>2.37</v>
      </c>
      <c r="F4" s="50">
        <f>(C4*D4)-E4</f>
        <v>26.429999999999996</v>
      </c>
      <c r="H4" s="48" t="s">
        <v>106</v>
      </c>
      <c r="I4" s="49">
        <v>60.4</v>
      </c>
      <c r="K4" s="65" t="s">
        <v>78</v>
      </c>
      <c r="L4" s="66">
        <v>5.27</v>
      </c>
    </row>
    <row r="5" spans="1:13">
      <c r="A5" s="35"/>
      <c r="B5" s="48" t="s">
        <v>79</v>
      </c>
      <c r="C5" s="49">
        <v>9.6</v>
      </c>
      <c r="D5" s="50">
        <v>3</v>
      </c>
      <c r="E5" s="49">
        <f>(0.8*0.6)+(0.9*2.1)</f>
        <v>2.37</v>
      </c>
      <c r="F5" s="50">
        <f>(C5*D5)-E5</f>
        <v>26.429999999999996</v>
      </c>
      <c r="H5" s="48" t="s">
        <v>105</v>
      </c>
      <c r="I5" s="49">
        <f>(10.18*3.6)+(7.9*0.77)</f>
        <v>42.731000000000002</v>
      </c>
      <c r="J5" s="42"/>
      <c r="K5" s="65" t="s">
        <v>79</v>
      </c>
      <c r="L5" s="66">
        <v>5.27</v>
      </c>
      <c r="M5" s="42"/>
    </row>
    <row r="6" spans="1:13">
      <c r="A6" s="35"/>
      <c r="B6" s="48" t="s">
        <v>80</v>
      </c>
      <c r="C6" s="49">
        <v>10.3</v>
      </c>
      <c r="D6" s="50">
        <v>3</v>
      </c>
      <c r="E6" s="49">
        <f>(0.8*0.6)+(0.9*2.1)</f>
        <v>2.37</v>
      </c>
      <c r="F6" s="50">
        <f>(C6*D6)-E6</f>
        <v>28.53</v>
      </c>
      <c r="H6" s="48" t="s">
        <v>107</v>
      </c>
      <c r="I6" s="49">
        <v>13.02</v>
      </c>
      <c r="J6" s="42"/>
      <c r="K6" s="65" t="s">
        <v>80</v>
      </c>
      <c r="L6" s="66">
        <v>5.87</v>
      </c>
      <c r="M6" s="42"/>
    </row>
    <row r="7" spans="1:13">
      <c r="A7" s="35"/>
      <c r="B7" s="51" t="s">
        <v>82</v>
      </c>
      <c r="C7" s="49">
        <v>9.1</v>
      </c>
      <c r="D7" s="50">
        <v>3</v>
      </c>
      <c r="E7" s="49">
        <f>(1.3*0.5)*4+(0.9*2.1*6)</f>
        <v>13.94</v>
      </c>
      <c r="F7" s="50">
        <f>(C7*D7*6)-E7</f>
        <v>149.85999999999999</v>
      </c>
      <c r="H7" s="48" t="s">
        <v>108</v>
      </c>
      <c r="I7" s="49">
        <v>12.66</v>
      </c>
      <c r="J7" s="42"/>
      <c r="K7" s="67" t="s">
        <v>82</v>
      </c>
      <c r="L7" s="66">
        <f>4.85*6</f>
        <v>29.099999999999998</v>
      </c>
      <c r="M7" s="42"/>
    </row>
    <row r="8" spans="1:13">
      <c r="A8" s="35"/>
      <c r="B8" s="52" t="s">
        <v>81</v>
      </c>
      <c r="C8" s="49">
        <v>8.48</v>
      </c>
      <c r="D8" s="50">
        <v>3</v>
      </c>
      <c r="E8" s="49">
        <f>0.9*2.1</f>
        <v>1.8900000000000001</v>
      </c>
      <c r="F8" s="50">
        <f t="shared" ref="F8:F19" si="0">(C8*D8)-E8</f>
        <v>23.55</v>
      </c>
      <c r="H8" s="52" t="s">
        <v>109</v>
      </c>
      <c r="I8" s="49">
        <v>12.11</v>
      </c>
      <c r="J8" s="16"/>
      <c r="K8" s="68" t="s">
        <v>81</v>
      </c>
      <c r="L8" s="66">
        <v>4.32</v>
      </c>
      <c r="M8" s="42"/>
    </row>
    <row r="9" spans="1:13">
      <c r="A9" s="35"/>
      <c r="B9" s="53" t="s">
        <v>101</v>
      </c>
      <c r="C9" s="49">
        <v>14.1</v>
      </c>
      <c r="D9" s="50">
        <v>3</v>
      </c>
      <c r="E9" s="49">
        <f>1.5+2.1</f>
        <v>3.6</v>
      </c>
      <c r="F9" s="50">
        <f t="shared" si="0"/>
        <v>38.699999999999996</v>
      </c>
      <c r="H9" s="48" t="s">
        <v>124</v>
      </c>
      <c r="I9" s="49">
        <v>11.54</v>
      </c>
      <c r="J9" s="43"/>
      <c r="K9" s="67" t="s">
        <v>83</v>
      </c>
      <c r="L9" s="66">
        <v>9.57</v>
      </c>
      <c r="M9" s="42"/>
    </row>
    <row r="10" spans="1:13">
      <c r="A10" s="35"/>
      <c r="B10" s="48" t="s">
        <v>102</v>
      </c>
      <c r="C10" s="49">
        <v>8.6</v>
      </c>
      <c r="D10" s="50">
        <v>3</v>
      </c>
      <c r="E10" s="49">
        <f>0.8*3</f>
        <v>2.4000000000000004</v>
      </c>
      <c r="F10" s="50">
        <f t="shared" si="0"/>
        <v>23.4</v>
      </c>
      <c r="H10" s="48" t="s">
        <v>125</v>
      </c>
      <c r="I10" s="49">
        <v>11.54</v>
      </c>
      <c r="J10" s="42"/>
      <c r="K10" s="65" t="s">
        <v>84</v>
      </c>
      <c r="L10" s="66">
        <v>9.57</v>
      </c>
      <c r="M10" s="42"/>
    </row>
    <row r="11" spans="1:13">
      <c r="A11" s="35"/>
      <c r="B11" s="48" t="s">
        <v>87</v>
      </c>
      <c r="C11" s="49">
        <v>6.3</v>
      </c>
      <c r="D11" s="50">
        <v>3</v>
      </c>
      <c r="E11" s="49">
        <f>(0.6*0.5)+(0.8*2.1)</f>
        <v>1.9800000000000002</v>
      </c>
      <c r="F11" s="50">
        <f t="shared" si="0"/>
        <v>16.919999999999998</v>
      </c>
      <c r="H11" s="48" t="s">
        <v>126</v>
      </c>
      <c r="I11" s="49">
        <v>18.09</v>
      </c>
      <c r="J11" s="44"/>
      <c r="K11" s="65" t="s">
        <v>85</v>
      </c>
      <c r="L11" s="66">
        <v>4.22</v>
      </c>
      <c r="M11" s="42"/>
    </row>
    <row r="12" spans="1:13">
      <c r="A12" s="35"/>
      <c r="B12" s="48" t="s">
        <v>86</v>
      </c>
      <c r="C12" s="49">
        <v>8.6999999999999993</v>
      </c>
      <c r="D12" s="50">
        <v>3</v>
      </c>
      <c r="E12" s="49">
        <f>(0.6*2.1)+1*0.5</f>
        <v>1.76</v>
      </c>
      <c r="F12" s="50">
        <f t="shared" si="0"/>
        <v>24.339999999999996</v>
      </c>
      <c r="H12" s="48" t="s">
        <v>110</v>
      </c>
      <c r="I12" s="49">
        <v>2.59</v>
      </c>
      <c r="J12" s="42"/>
      <c r="K12" s="65" t="s">
        <v>86</v>
      </c>
      <c r="L12" s="66">
        <v>4.42</v>
      </c>
      <c r="M12" s="42"/>
    </row>
    <row r="13" spans="1:13">
      <c r="A13" s="35"/>
      <c r="B13" s="48" t="s">
        <v>89</v>
      </c>
      <c r="C13" s="49">
        <v>8.6999999999999993</v>
      </c>
      <c r="D13" s="50">
        <v>3</v>
      </c>
      <c r="E13" s="49">
        <f>1*0.6+0.6*2.1</f>
        <v>1.8599999999999999</v>
      </c>
      <c r="F13" s="50">
        <f t="shared" si="0"/>
        <v>24.24</v>
      </c>
      <c r="H13" s="48" t="s">
        <v>123</v>
      </c>
      <c r="I13" s="49">
        <v>13.97</v>
      </c>
      <c r="K13" s="65" t="s">
        <v>87</v>
      </c>
      <c r="L13" s="66">
        <v>2.4700000000000002</v>
      </c>
    </row>
    <row r="14" spans="1:13">
      <c r="A14" s="35"/>
      <c r="B14" s="48" t="s">
        <v>90</v>
      </c>
      <c r="C14" s="49">
        <v>10.199999999999999</v>
      </c>
      <c r="D14" s="50">
        <v>3</v>
      </c>
      <c r="E14" s="49">
        <f>1.6*2.1+1.3*1.1</f>
        <v>4.7900000000000009</v>
      </c>
      <c r="F14" s="50">
        <f t="shared" si="0"/>
        <v>25.809999999999995</v>
      </c>
      <c r="H14" s="48" t="s">
        <v>111</v>
      </c>
      <c r="I14" s="49">
        <v>5.52</v>
      </c>
      <c r="K14" s="65" t="s">
        <v>88</v>
      </c>
      <c r="L14" s="66">
        <v>3.18</v>
      </c>
    </row>
    <row r="15" spans="1:13">
      <c r="A15" s="35"/>
      <c r="B15" s="54" t="s">
        <v>91</v>
      </c>
      <c r="C15" s="49">
        <v>14.2</v>
      </c>
      <c r="D15" s="50">
        <v>3</v>
      </c>
      <c r="E15" s="49">
        <f>1.6*2.1</f>
        <v>3.3600000000000003</v>
      </c>
      <c r="F15" s="50">
        <f t="shared" si="0"/>
        <v>39.239999999999995</v>
      </c>
      <c r="H15" s="62" t="s">
        <v>119</v>
      </c>
      <c r="I15" s="49">
        <v>3.15</v>
      </c>
      <c r="K15" s="68" t="s">
        <v>60</v>
      </c>
      <c r="L15" s="66">
        <v>6.68</v>
      </c>
    </row>
    <row r="16" spans="1:13">
      <c r="A16" s="35"/>
      <c r="B16" s="53" t="s">
        <v>92</v>
      </c>
      <c r="C16" s="49">
        <v>28.22</v>
      </c>
      <c r="D16" s="50">
        <v>3</v>
      </c>
      <c r="E16" s="49">
        <f>(1.6+0.8)*2.1+1.8*1.1</f>
        <v>7.0200000000000014</v>
      </c>
      <c r="F16" s="50">
        <f t="shared" si="0"/>
        <v>77.64</v>
      </c>
      <c r="H16" s="48" t="s">
        <v>120</v>
      </c>
      <c r="I16" s="49">
        <v>10.18</v>
      </c>
      <c r="K16" s="68" t="s">
        <v>89</v>
      </c>
      <c r="L16" s="66">
        <v>3.32</v>
      </c>
    </row>
    <row r="17" spans="1:12">
      <c r="A17" s="35"/>
      <c r="B17" s="48" t="s">
        <v>93</v>
      </c>
      <c r="C17" s="49">
        <f>16.14*2</f>
        <v>32.28</v>
      </c>
      <c r="D17" s="50">
        <v>3</v>
      </c>
      <c r="E17" s="49">
        <f>2.4*0.5*2+0.8*2.1*2</f>
        <v>5.76</v>
      </c>
      <c r="F17" s="50">
        <f t="shared" si="0"/>
        <v>91.08</v>
      </c>
      <c r="H17" s="48" t="s">
        <v>121</v>
      </c>
      <c r="I17" s="49">
        <v>20.93</v>
      </c>
      <c r="K17" s="65" t="s">
        <v>90</v>
      </c>
      <c r="L17" s="66">
        <v>6.41</v>
      </c>
    </row>
    <row r="18" spans="1:12">
      <c r="A18" s="35"/>
      <c r="B18" s="48" t="s">
        <v>95</v>
      </c>
      <c r="C18" s="49">
        <v>8.5</v>
      </c>
      <c r="D18" s="50">
        <v>3</v>
      </c>
      <c r="E18" s="49">
        <f>1*0.6+0.9*2.1</f>
        <v>2.4900000000000002</v>
      </c>
      <c r="F18" s="50">
        <f t="shared" si="0"/>
        <v>23.009999999999998</v>
      </c>
      <c r="H18" s="48" t="s">
        <v>122</v>
      </c>
      <c r="I18" s="49">
        <v>34.18</v>
      </c>
      <c r="K18" s="69" t="s">
        <v>91</v>
      </c>
      <c r="L18" s="66">
        <v>12.11</v>
      </c>
    </row>
    <row r="19" spans="1:12">
      <c r="B19" s="54" t="s">
        <v>96</v>
      </c>
      <c r="C19" s="49">
        <v>10.199999999999999</v>
      </c>
      <c r="D19" s="50">
        <v>3</v>
      </c>
      <c r="E19" s="49">
        <f>0.8*2.1</f>
        <v>1.6800000000000002</v>
      </c>
      <c r="F19" s="50">
        <f t="shared" si="0"/>
        <v>28.919999999999998</v>
      </c>
      <c r="H19" s="48" t="s">
        <v>127</v>
      </c>
      <c r="I19" s="49">
        <v>15.35</v>
      </c>
      <c r="K19" s="70" t="s">
        <v>92</v>
      </c>
      <c r="L19" s="66">
        <v>22.58</v>
      </c>
    </row>
    <row r="20" spans="1:12">
      <c r="B20" s="54" t="s">
        <v>70</v>
      </c>
      <c r="C20" s="49">
        <f>1.83*2+1.85*2</f>
        <v>7.36</v>
      </c>
      <c r="D20" s="50">
        <v>3</v>
      </c>
      <c r="E20" s="49">
        <f>(1.6*0.6+0.9*2.1)*2</f>
        <v>5.7</v>
      </c>
      <c r="F20" s="50">
        <f>(C20*D20*2)-E20</f>
        <v>38.46</v>
      </c>
      <c r="H20" s="55" t="s">
        <v>36</v>
      </c>
      <c r="I20" s="75">
        <f>SUM(I4:I19)</f>
        <v>287.96100000000001</v>
      </c>
      <c r="K20" s="65" t="s">
        <v>93</v>
      </c>
      <c r="L20" s="66">
        <f>12.83*2</f>
        <v>25.66</v>
      </c>
    </row>
    <row r="21" spans="1:12" s="11" customFormat="1">
      <c r="B21" s="144"/>
      <c r="C21" s="145"/>
      <c r="D21" s="146"/>
      <c r="E21" s="147"/>
      <c r="F21" s="50"/>
      <c r="H21" s="148"/>
      <c r="I21" s="149"/>
      <c r="K21" s="65"/>
      <c r="L21" s="66"/>
    </row>
    <row r="22" spans="1:12">
      <c r="B22" s="1053" t="s">
        <v>36</v>
      </c>
      <c r="C22" s="1054"/>
      <c r="D22" s="1054"/>
      <c r="E22" s="1055"/>
      <c r="F22" s="71">
        <f>SUM(F4:F20)</f>
        <v>706.56000000000006</v>
      </c>
      <c r="K22" s="65" t="s">
        <v>72</v>
      </c>
      <c r="L22" s="66">
        <v>28.55</v>
      </c>
    </row>
    <row r="23" spans="1:12">
      <c r="F23" s="34"/>
      <c r="K23" s="65" t="s">
        <v>94</v>
      </c>
      <c r="L23" s="66">
        <v>8.11</v>
      </c>
    </row>
    <row r="24" spans="1:12">
      <c r="A24" s="33"/>
      <c r="B24" s="33"/>
      <c r="C24" s="33"/>
      <c r="D24" s="33"/>
      <c r="E24" s="33"/>
      <c r="F24" s="46"/>
      <c r="G24" s="33"/>
      <c r="H24" s="33"/>
      <c r="K24" s="65" t="s">
        <v>95</v>
      </c>
      <c r="L24" s="66">
        <v>4.33</v>
      </c>
    </row>
    <row r="25" spans="1:12">
      <c r="A25" s="33"/>
      <c r="B25" s="1051"/>
      <c r="C25" s="1051"/>
      <c r="D25" s="1051"/>
      <c r="E25" s="1051"/>
      <c r="F25" s="1051"/>
      <c r="G25" s="33"/>
      <c r="H25" s="33"/>
      <c r="K25" s="68" t="s">
        <v>96</v>
      </c>
      <c r="L25" s="66">
        <v>5.69</v>
      </c>
    </row>
    <row r="26" spans="1:12">
      <c r="A26" s="33"/>
      <c r="B26" s="33"/>
      <c r="C26" s="33"/>
      <c r="D26" s="33"/>
      <c r="E26" s="33"/>
      <c r="F26" s="33"/>
      <c r="G26" s="33"/>
      <c r="H26" s="33"/>
      <c r="K26" s="65" t="s">
        <v>97</v>
      </c>
      <c r="L26" s="66">
        <f>3.38*2</f>
        <v>6.76</v>
      </c>
    </row>
    <row r="27" spans="1:12" s="11" customFormat="1">
      <c r="B27" s="136"/>
      <c r="D27" s="136"/>
      <c r="K27" s="65" t="s">
        <v>103</v>
      </c>
      <c r="L27" s="66">
        <v>5.94</v>
      </c>
    </row>
    <row r="28" spans="1:12">
      <c r="B28" s="136"/>
      <c r="C28" s="11"/>
      <c r="D28" s="136"/>
      <c r="F28" s="11"/>
      <c r="K28" s="72" t="s">
        <v>36</v>
      </c>
      <c r="L28" s="73">
        <f>SUM(L4:L27)</f>
        <v>219.4</v>
      </c>
    </row>
    <row r="29" spans="1:12">
      <c r="B29" s="136"/>
      <c r="D29" s="136"/>
    </row>
    <row r="30" spans="1:12">
      <c r="A30" s="33"/>
      <c r="B30" s="136"/>
      <c r="C30" s="33"/>
      <c r="D30" s="136"/>
      <c r="E30" s="33"/>
      <c r="F30" s="33"/>
      <c r="G30" s="33"/>
      <c r="H30" s="33"/>
      <c r="I30" s="33"/>
      <c r="J30" s="33"/>
      <c r="K30" s="33"/>
    </row>
    <row r="31" spans="1:12">
      <c r="A31" s="45"/>
      <c r="B31" s="136"/>
      <c r="C31" s="33"/>
      <c r="D31" s="136"/>
      <c r="E31" s="33"/>
      <c r="F31" s="33"/>
      <c r="G31" s="33"/>
      <c r="H31" s="33"/>
      <c r="I31" s="33"/>
      <c r="J31" s="33"/>
      <c r="K31" s="33"/>
    </row>
    <row r="32" spans="1:12">
      <c r="A32" s="33"/>
      <c r="B32" s="136"/>
      <c r="C32" s="33"/>
      <c r="D32" s="136"/>
      <c r="E32" s="33"/>
      <c r="F32" s="33"/>
      <c r="G32" s="33"/>
      <c r="H32" s="33"/>
      <c r="I32" s="33"/>
      <c r="J32" s="33"/>
      <c r="K32" s="33"/>
    </row>
    <row r="33" spans="1:11">
      <c r="A33" s="33"/>
      <c r="B33" s="136"/>
      <c r="C33" s="33"/>
      <c r="D33" s="136"/>
      <c r="E33" s="33"/>
      <c r="F33" s="33"/>
      <c r="G33" s="33"/>
      <c r="H33" s="33"/>
      <c r="I33" s="33"/>
      <c r="J33" s="33"/>
      <c r="K33" s="33"/>
    </row>
    <row r="34" spans="1:11">
      <c r="A34" s="33"/>
      <c r="B34" s="136"/>
      <c r="C34" s="33"/>
      <c r="D34" s="136"/>
      <c r="E34" s="33"/>
      <c r="F34" s="33"/>
      <c r="G34" s="33"/>
      <c r="H34" s="33"/>
      <c r="I34" s="33"/>
      <c r="J34" s="33"/>
      <c r="K34" s="33"/>
    </row>
    <row r="35" spans="1:11">
      <c r="A35" s="33"/>
      <c r="B35" s="136"/>
      <c r="C35" s="33"/>
      <c r="D35" s="136"/>
      <c r="E35" s="33"/>
      <c r="F35" s="33"/>
      <c r="G35" s="33"/>
      <c r="H35" s="33"/>
      <c r="I35" s="33"/>
      <c r="J35" s="33"/>
      <c r="K35" s="33"/>
    </row>
    <row r="36" spans="1:11">
      <c r="B36" s="136"/>
      <c r="D36" s="136"/>
    </row>
    <row r="37" spans="1:11">
      <c r="B37" s="136"/>
      <c r="D37" s="136"/>
    </row>
    <row r="38" spans="1:11">
      <c r="B38" s="136"/>
      <c r="D38" s="136"/>
    </row>
    <row r="39" spans="1:11">
      <c r="B39" s="136"/>
      <c r="D39" s="136"/>
    </row>
    <row r="40" spans="1:11">
      <c r="B40" s="136"/>
      <c r="D40" s="136"/>
    </row>
    <row r="41" spans="1:11">
      <c r="B41" s="136"/>
      <c r="D41" s="136"/>
    </row>
    <row r="42" spans="1:11">
      <c r="B42" s="136"/>
      <c r="D42" s="136"/>
    </row>
    <row r="43" spans="1:11">
      <c r="B43" s="150"/>
      <c r="D43" s="136"/>
    </row>
    <row r="44" spans="1:11">
      <c r="B44" s="136"/>
      <c r="D44" s="136"/>
    </row>
    <row r="45" spans="1:11">
      <c r="B45" s="136"/>
      <c r="D45" s="136"/>
    </row>
    <row r="46" spans="1:11">
      <c r="B46" s="136"/>
    </row>
    <row r="47" spans="1:11">
      <c r="B47" s="136"/>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4"/>
  <sheetViews>
    <sheetView workbookViewId="0"/>
  </sheetViews>
  <sheetFormatPr defaultRowHeight="12.75"/>
  <cols>
    <col min="1" max="1" width="9.140625" style="11"/>
    <col min="2" max="2" width="33.140625" style="11" customWidth="1"/>
    <col min="3" max="3" width="10.5703125" style="11" bestFit="1" customWidth="1"/>
    <col min="4" max="4" width="9.140625" style="11"/>
    <col min="5" max="5" width="40.140625" customWidth="1"/>
    <col min="6" max="6" width="17.42578125" customWidth="1"/>
    <col min="7" max="7" width="10.85546875" customWidth="1"/>
    <col min="8" max="8" width="46.7109375" style="11" customWidth="1"/>
    <col min="9" max="9" width="18.7109375" customWidth="1"/>
    <col min="11" max="11" width="27.28515625" bestFit="1" customWidth="1"/>
    <col min="12" max="12" width="14.140625" customWidth="1"/>
    <col min="13" max="13" width="22.5703125" customWidth="1"/>
    <col min="14" max="14" width="20" customWidth="1"/>
  </cols>
  <sheetData>
    <row r="1" spans="2:17" s="11" customFormat="1"/>
    <row r="2" spans="2:17" s="11" customFormat="1"/>
    <row r="3" spans="2:17" s="11" customFormat="1">
      <c r="K3" s="82"/>
      <c r="L3" s="82"/>
      <c r="M3" s="82"/>
      <c r="N3" s="82"/>
      <c r="O3" s="82"/>
      <c r="P3" s="82"/>
      <c r="Q3" s="82"/>
    </row>
    <row r="4" spans="2:17" customFormat="1">
      <c r="B4" s="1059" t="s">
        <v>112</v>
      </c>
      <c r="C4" s="1060"/>
      <c r="D4" s="1060"/>
      <c r="E4" s="1060"/>
      <c r="F4" s="1061"/>
      <c r="H4" s="1056" t="s">
        <v>129</v>
      </c>
      <c r="I4" s="1057"/>
      <c r="K4" s="1062" t="s">
        <v>140</v>
      </c>
      <c r="L4" s="1062"/>
      <c r="M4" s="1062"/>
      <c r="N4" s="1062"/>
      <c r="O4" s="90"/>
      <c r="P4" s="80"/>
      <c r="Q4" s="80"/>
    </row>
    <row r="5" spans="2:17" customFormat="1">
      <c r="B5" s="59" t="s">
        <v>76</v>
      </c>
      <c r="C5" s="60" t="s">
        <v>99</v>
      </c>
      <c r="D5" s="61" t="s">
        <v>100</v>
      </c>
      <c r="E5" s="61" t="s">
        <v>117</v>
      </c>
      <c r="F5" s="61" t="s">
        <v>77</v>
      </c>
      <c r="H5" s="63" t="s">
        <v>76</v>
      </c>
      <c r="I5" s="64" t="s">
        <v>77</v>
      </c>
      <c r="K5" s="91" t="s">
        <v>76</v>
      </c>
      <c r="L5" s="91" t="s">
        <v>77</v>
      </c>
      <c r="M5" s="91" t="s">
        <v>141</v>
      </c>
      <c r="N5" s="91" t="s">
        <v>142</v>
      </c>
      <c r="O5" s="76"/>
      <c r="P5" s="77"/>
      <c r="Q5" s="76"/>
    </row>
    <row r="6" spans="2:17" customFormat="1">
      <c r="B6" s="48" t="s">
        <v>78</v>
      </c>
      <c r="C6" s="49">
        <f>9.6</f>
        <v>9.6</v>
      </c>
      <c r="D6" s="49">
        <v>3</v>
      </c>
      <c r="E6" s="49">
        <f>(0.8*0.6)+(0.9*2.1)</f>
        <v>2.37</v>
      </c>
      <c r="F6" s="50">
        <f>(C6*D6)-E6</f>
        <v>26.429999999999996</v>
      </c>
      <c r="H6" s="65" t="s">
        <v>78</v>
      </c>
      <c r="I6" s="66">
        <v>5.27</v>
      </c>
      <c r="K6" s="142" t="s">
        <v>169</v>
      </c>
      <c r="L6" s="92">
        <f>1.5*0.6</f>
        <v>0.89999999999999991</v>
      </c>
      <c r="M6" s="94">
        <f>0.46*0.3</f>
        <v>0.13800000000000001</v>
      </c>
      <c r="N6" s="94">
        <f>L6-M6</f>
        <v>0.7619999999999999</v>
      </c>
      <c r="O6" s="79"/>
      <c r="P6" s="78"/>
      <c r="Q6" s="79"/>
    </row>
    <row r="7" spans="2:17" customFormat="1">
      <c r="B7" s="48" t="s">
        <v>79</v>
      </c>
      <c r="C7" s="49">
        <v>9.6</v>
      </c>
      <c r="D7" s="49">
        <v>3</v>
      </c>
      <c r="E7" s="49">
        <f>(0.8*0.6)+(0.9*2.1)</f>
        <v>2.37</v>
      </c>
      <c r="F7" s="50">
        <f>(C7*D7)-E7</f>
        <v>26.429999999999996</v>
      </c>
      <c r="H7" s="65" t="s">
        <v>79</v>
      </c>
      <c r="I7" s="66">
        <v>5.27</v>
      </c>
      <c r="K7" s="142" t="s">
        <v>171</v>
      </c>
      <c r="L7" s="92">
        <f>1.5*0.6</f>
        <v>0.89999999999999991</v>
      </c>
      <c r="M7" s="94">
        <f>0.46*0.3</f>
        <v>0.13800000000000001</v>
      </c>
      <c r="N7" s="94">
        <f t="shared" ref="N7:N16" si="0">L7-M7</f>
        <v>0.7619999999999999</v>
      </c>
      <c r="O7" s="79"/>
      <c r="P7" s="78"/>
      <c r="Q7" s="79"/>
    </row>
    <row r="8" spans="2:17" customFormat="1">
      <c r="B8" s="48" t="s">
        <v>80</v>
      </c>
      <c r="C8" s="49">
        <v>10.3</v>
      </c>
      <c r="D8" s="49">
        <v>3</v>
      </c>
      <c r="E8" s="49">
        <f>(0.8*0.6)+(0.9*2.1)</f>
        <v>2.37</v>
      </c>
      <c r="F8" s="50">
        <f>(C8*D8)-E8</f>
        <v>28.53</v>
      </c>
      <c r="H8" s="65" t="s">
        <v>80</v>
      </c>
      <c r="I8" s="66">
        <v>5.87</v>
      </c>
      <c r="K8" s="142" t="s">
        <v>170</v>
      </c>
      <c r="L8" s="92">
        <f>1.5*0.6</f>
        <v>0.89999999999999991</v>
      </c>
      <c r="M8" s="94">
        <f>0.46*0.3</f>
        <v>0.13800000000000001</v>
      </c>
      <c r="N8" s="94">
        <f t="shared" si="0"/>
        <v>0.7619999999999999</v>
      </c>
      <c r="O8" s="79"/>
      <c r="P8" s="78"/>
      <c r="Q8" s="79"/>
    </row>
    <row r="9" spans="2:17" customFormat="1">
      <c r="B9" s="51" t="s">
        <v>82</v>
      </c>
      <c r="C9" s="49">
        <v>9.1</v>
      </c>
      <c r="D9" s="49">
        <v>3</v>
      </c>
      <c r="E9" s="49">
        <f>(1.3*0.5)*4+(0.9*2.1*6)</f>
        <v>13.94</v>
      </c>
      <c r="F9" s="50">
        <f>(C9*D9*6)-E9</f>
        <v>149.85999999999999</v>
      </c>
      <c r="H9" s="84" t="s">
        <v>130</v>
      </c>
      <c r="I9" s="66">
        <v>10.18</v>
      </c>
      <c r="J9" s="11"/>
      <c r="K9" s="142" t="s">
        <v>143</v>
      </c>
      <c r="L9" s="92">
        <f>0.6*2</f>
        <v>1.2</v>
      </c>
      <c r="M9" s="94">
        <f>0.46*0.3</f>
        <v>0.13800000000000001</v>
      </c>
      <c r="N9" s="94">
        <f t="shared" si="0"/>
        <v>1.0619999999999998</v>
      </c>
      <c r="O9" s="79"/>
      <c r="P9" s="78"/>
      <c r="Q9" s="79"/>
    </row>
    <row r="10" spans="2:17" customFormat="1">
      <c r="B10" s="52" t="s">
        <v>81</v>
      </c>
      <c r="C10" s="49">
        <v>8.48</v>
      </c>
      <c r="D10" s="49">
        <v>3</v>
      </c>
      <c r="E10" s="49">
        <f>0.9*2.1</f>
        <v>1.8900000000000001</v>
      </c>
      <c r="F10" s="50">
        <f>(C10*D10)-E10</f>
        <v>23.55</v>
      </c>
      <c r="H10" s="67" t="s">
        <v>82</v>
      </c>
      <c r="I10" s="66">
        <f>4.85*6</f>
        <v>29.099999999999998</v>
      </c>
      <c r="J10" s="11"/>
      <c r="K10" s="142" t="s">
        <v>119</v>
      </c>
      <c r="L10" s="92">
        <f>1.95*0.6</f>
        <v>1.17</v>
      </c>
      <c r="M10" s="92">
        <f t="shared" ref="M10:M18" si="1">0.46*0.3</f>
        <v>0.13800000000000001</v>
      </c>
      <c r="N10" s="94">
        <f t="shared" si="0"/>
        <v>1.032</v>
      </c>
      <c r="O10" s="79"/>
      <c r="P10" s="78"/>
      <c r="Q10" s="79"/>
    </row>
    <row r="11" spans="2:17" customFormat="1">
      <c r="B11" s="53" t="s">
        <v>101</v>
      </c>
      <c r="C11" s="49">
        <v>14.1</v>
      </c>
      <c r="D11" s="49">
        <v>3</v>
      </c>
      <c r="E11" s="49">
        <f>1.5+2.1</f>
        <v>3.6</v>
      </c>
      <c r="F11" s="50">
        <f>(C11*D11)-E11</f>
        <v>38.699999999999996</v>
      </c>
      <c r="H11" s="68" t="s">
        <v>81</v>
      </c>
      <c r="I11" s="66">
        <v>4.32</v>
      </c>
      <c r="J11" s="11"/>
      <c r="K11" s="142" t="s">
        <v>144</v>
      </c>
      <c r="L11" s="92">
        <f>2.6*0.6</f>
        <v>1.56</v>
      </c>
      <c r="M11" s="92">
        <f t="shared" si="1"/>
        <v>0.13800000000000001</v>
      </c>
      <c r="N11" s="94">
        <f t="shared" si="0"/>
        <v>1.4220000000000002</v>
      </c>
      <c r="O11" s="79"/>
      <c r="P11" s="78"/>
      <c r="Q11" s="79"/>
    </row>
    <row r="12" spans="2:17" customFormat="1">
      <c r="B12" s="48" t="s">
        <v>102</v>
      </c>
      <c r="C12" s="49">
        <v>8.6</v>
      </c>
      <c r="D12" s="49">
        <v>3</v>
      </c>
      <c r="E12" s="49">
        <f>0.8*3</f>
        <v>2.4000000000000004</v>
      </c>
      <c r="F12" s="50">
        <f>(C12*D12)-E12</f>
        <v>23.4</v>
      </c>
      <c r="H12" s="67" t="s">
        <v>83</v>
      </c>
      <c r="I12" s="66">
        <v>9.57</v>
      </c>
      <c r="J12" s="11"/>
      <c r="K12" s="142" t="s">
        <v>145</v>
      </c>
      <c r="L12" s="92">
        <f>2.5+2.62*0.6</f>
        <v>4.0720000000000001</v>
      </c>
      <c r="M12" s="92">
        <f t="shared" si="1"/>
        <v>0.13800000000000001</v>
      </c>
      <c r="N12" s="92">
        <f t="shared" si="0"/>
        <v>3.9340000000000002</v>
      </c>
      <c r="O12" s="79"/>
      <c r="P12" s="78"/>
      <c r="Q12" s="79"/>
    </row>
    <row r="13" spans="2:17" customFormat="1">
      <c r="B13" s="48" t="s">
        <v>87</v>
      </c>
      <c r="C13" s="49">
        <v>6.3</v>
      </c>
      <c r="D13" s="49">
        <v>3</v>
      </c>
      <c r="E13" s="49">
        <f>(0.6*0.5)+(0.8*2.1)</f>
        <v>1.9800000000000002</v>
      </c>
      <c r="F13" s="50">
        <f t="shared" ref="F13:F21" si="2">(C13*D13)-E13</f>
        <v>16.919999999999998</v>
      </c>
      <c r="H13" s="65" t="s">
        <v>84</v>
      </c>
      <c r="I13" s="66">
        <v>9.57</v>
      </c>
      <c r="J13" s="11"/>
      <c r="K13" s="142" t="s">
        <v>109</v>
      </c>
      <c r="L13" s="92">
        <f>2.15*0.6</f>
        <v>1.2899999999999998</v>
      </c>
      <c r="M13" s="92">
        <f t="shared" si="1"/>
        <v>0.13800000000000001</v>
      </c>
      <c r="N13" s="92">
        <f t="shared" si="0"/>
        <v>1.1519999999999997</v>
      </c>
      <c r="O13" s="79"/>
      <c r="P13" s="78"/>
      <c r="Q13" s="79"/>
    </row>
    <row r="14" spans="2:17" customFormat="1">
      <c r="B14" s="48" t="s">
        <v>86</v>
      </c>
      <c r="C14" s="49">
        <v>8.6999999999999993</v>
      </c>
      <c r="D14" s="49">
        <v>3</v>
      </c>
      <c r="E14" s="49">
        <f>(0.6*2.1)+1*0.5</f>
        <v>1.76</v>
      </c>
      <c r="F14" s="50">
        <f t="shared" si="2"/>
        <v>24.339999999999996</v>
      </c>
      <c r="H14" s="65" t="s">
        <v>85</v>
      </c>
      <c r="I14" s="66">
        <v>4.22</v>
      </c>
      <c r="J14" s="11"/>
      <c r="K14" s="142" t="s">
        <v>125</v>
      </c>
      <c r="L14" s="92">
        <f>2.5*0.6</f>
        <v>1.5</v>
      </c>
      <c r="M14" s="92">
        <f t="shared" si="1"/>
        <v>0.13800000000000001</v>
      </c>
      <c r="N14" s="92">
        <f t="shared" si="0"/>
        <v>1.3620000000000001</v>
      </c>
      <c r="O14" s="79"/>
      <c r="P14" s="78"/>
      <c r="Q14" s="79"/>
    </row>
    <row r="15" spans="2:17" customFormat="1">
      <c r="B15" s="48" t="s">
        <v>89</v>
      </c>
      <c r="C15" s="49">
        <v>8.6999999999999993</v>
      </c>
      <c r="D15" s="49">
        <v>3</v>
      </c>
      <c r="E15" s="49">
        <f>1*0.6+0.6*2.1</f>
        <v>1.8599999999999999</v>
      </c>
      <c r="F15" s="50">
        <f t="shared" si="2"/>
        <v>24.24</v>
      </c>
      <c r="H15" s="65" t="s">
        <v>86</v>
      </c>
      <c r="I15" s="66">
        <v>4.42</v>
      </c>
      <c r="J15" s="11"/>
      <c r="K15" s="142" t="s">
        <v>127</v>
      </c>
      <c r="L15" s="92">
        <f>2.1*0.6</f>
        <v>1.26</v>
      </c>
      <c r="M15" s="92">
        <f t="shared" si="1"/>
        <v>0.13800000000000001</v>
      </c>
      <c r="N15" s="92">
        <f t="shared" si="0"/>
        <v>1.1219999999999999</v>
      </c>
      <c r="O15" s="79"/>
      <c r="P15" s="78"/>
      <c r="Q15" s="79"/>
    </row>
    <row r="16" spans="2:17" customFormat="1">
      <c r="B16" s="48" t="s">
        <v>90</v>
      </c>
      <c r="C16" s="49">
        <v>10.199999999999999</v>
      </c>
      <c r="D16" s="49">
        <v>3</v>
      </c>
      <c r="E16" s="49">
        <f>1.6*2.1+1.3*1.1</f>
        <v>4.7900000000000009</v>
      </c>
      <c r="F16" s="50">
        <f t="shared" si="2"/>
        <v>25.809999999999995</v>
      </c>
      <c r="H16" s="65" t="s">
        <v>87</v>
      </c>
      <c r="I16" s="66">
        <v>2.4700000000000002</v>
      </c>
      <c r="J16" s="11"/>
      <c r="K16" s="95" t="s">
        <v>147</v>
      </c>
      <c r="L16" s="92">
        <f>1.6*0.6</f>
        <v>0.96</v>
      </c>
      <c r="M16" s="92">
        <f t="shared" si="1"/>
        <v>0.13800000000000001</v>
      </c>
      <c r="N16" s="92">
        <f t="shared" si="0"/>
        <v>0.82199999999999995</v>
      </c>
      <c r="O16" s="79"/>
      <c r="P16" s="78"/>
      <c r="Q16" s="79"/>
    </row>
    <row r="17" spans="2:17" customFormat="1" ht="22.5">
      <c r="B17" s="51" t="s">
        <v>91</v>
      </c>
      <c r="C17" s="49">
        <v>14.2</v>
      </c>
      <c r="D17" s="49">
        <v>3</v>
      </c>
      <c r="E17" s="49">
        <f>1.6*2.1</f>
        <v>3.3600000000000003</v>
      </c>
      <c r="F17" s="50">
        <f t="shared" si="2"/>
        <v>39.239999999999995</v>
      </c>
      <c r="H17" s="65" t="s">
        <v>88</v>
      </c>
      <c r="I17" s="66">
        <v>3.18</v>
      </c>
      <c r="J17" s="11"/>
      <c r="K17" s="142" t="s">
        <v>146</v>
      </c>
      <c r="L17" s="92">
        <f>2*0.6</f>
        <v>1.2</v>
      </c>
      <c r="M17" s="92">
        <f t="shared" si="1"/>
        <v>0.13800000000000001</v>
      </c>
      <c r="N17" s="92">
        <f>L17-M17</f>
        <v>1.0619999999999998</v>
      </c>
      <c r="O17" s="79"/>
      <c r="P17" s="78"/>
      <c r="Q17" s="79"/>
    </row>
    <row r="18" spans="2:17" customFormat="1">
      <c r="B18" s="53" t="s">
        <v>92</v>
      </c>
      <c r="C18" s="141">
        <v>28.22</v>
      </c>
      <c r="D18" s="49">
        <v>3</v>
      </c>
      <c r="E18" s="49">
        <f>(1.6+0.8)*2.1+1.8*1.1</f>
        <v>7.0200000000000014</v>
      </c>
      <c r="F18" s="50">
        <f t="shared" si="2"/>
        <v>77.64</v>
      </c>
      <c r="H18" s="68" t="s">
        <v>60</v>
      </c>
      <c r="I18" s="66">
        <v>6.68</v>
      </c>
      <c r="J18" s="11"/>
      <c r="K18" s="142" t="s">
        <v>132</v>
      </c>
      <c r="L18" s="92">
        <f>1.5*0.6</f>
        <v>0.89999999999999991</v>
      </c>
      <c r="M18" s="92">
        <f t="shared" si="1"/>
        <v>0.13800000000000001</v>
      </c>
      <c r="N18" s="92">
        <f>L18-M18</f>
        <v>0.7619999999999999</v>
      </c>
      <c r="O18" s="79"/>
      <c r="P18" s="78"/>
      <c r="Q18" s="79"/>
    </row>
    <row r="19" spans="2:17" customFormat="1">
      <c r="B19" s="48" t="s">
        <v>93</v>
      </c>
      <c r="C19" s="49">
        <f>16.14*2</f>
        <v>32.28</v>
      </c>
      <c r="D19" s="49">
        <v>3</v>
      </c>
      <c r="E19" s="49">
        <f>2.4*0.5*2+0.8*2.1*2</f>
        <v>5.76</v>
      </c>
      <c r="F19" s="50">
        <f t="shared" si="2"/>
        <v>91.08</v>
      </c>
      <c r="H19" s="68" t="s">
        <v>89</v>
      </c>
      <c r="I19" s="66">
        <v>3.32</v>
      </c>
      <c r="J19" s="11"/>
      <c r="K19" s="95" t="s">
        <v>105</v>
      </c>
      <c r="L19" s="92">
        <f>1.5*0.6</f>
        <v>0.89999999999999991</v>
      </c>
      <c r="M19" s="92"/>
      <c r="N19" s="92">
        <f>L19-M19</f>
        <v>0.89999999999999991</v>
      </c>
      <c r="P19" s="78"/>
      <c r="Q19" s="79"/>
    </row>
    <row r="20" spans="2:17" customFormat="1">
      <c r="B20" s="48" t="s">
        <v>95</v>
      </c>
      <c r="C20" s="49">
        <v>8.5</v>
      </c>
      <c r="D20" s="49">
        <v>3</v>
      </c>
      <c r="E20" s="49">
        <f>1*0.6+0.9*2.1</f>
        <v>2.4900000000000002</v>
      </c>
      <c r="F20" s="50">
        <f t="shared" si="2"/>
        <v>23.009999999999998</v>
      </c>
      <c r="H20" s="65" t="s">
        <v>90</v>
      </c>
      <c r="I20" s="66">
        <v>6.41</v>
      </c>
      <c r="J20" s="11"/>
      <c r="K20" s="142" t="s">
        <v>148</v>
      </c>
      <c r="L20" s="92">
        <f>1.15*0.6*2</f>
        <v>1.38</v>
      </c>
      <c r="M20" s="92">
        <f>0.5*0.35</f>
        <v>0.17499999999999999</v>
      </c>
      <c r="N20" s="92">
        <f>L20-M20</f>
        <v>1.2049999999999998</v>
      </c>
      <c r="O20" s="79"/>
      <c r="P20" s="78"/>
      <c r="Q20" s="79"/>
    </row>
    <row r="21" spans="2:17" customFormat="1">
      <c r="B21" s="54" t="s">
        <v>96</v>
      </c>
      <c r="C21" s="49">
        <v>10.199999999999999</v>
      </c>
      <c r="D21" s="49">
        <v>3</v>
      </c>
      <c r="E21" s="49">
        <f>0.8*2.1</f>
        <v>1.6800000000000002</v>
      </c>
      <c r="F21" s="50">
        <f t="shared" si="2"/>
        <v>28.919999999999998</v>
      </c>
      <c r="H21" s="84" t="s">
        <v>131</v>
      </c>
      <c r="I21" s="66">
        <v>3.12</v>
      </c>
      <c r="J21" s="11"/>
      <c r="K21" s="142" t="s">
        <v>132</v>
      </c>
      <c r="L21" s="92">
        <f>1.2*0.6</f>
        <v>0.72</v>
      </c>
      <c r="M21" s="92">
        <f>0.5*0.35</f>
        <v>0.17499999999999999</v>
      </c>
      <c r="N21" s="92">
        <f>L21-M21</f>
        <v>0.54499999999999993</v>
      </c>
      <c r="O21" s="97" t="s">
        <v>11</v>
      </c>
      <c r="P21" s="78"/>
      <c r="Q21" s="79"/>
    </row>
    <row r="22" spans="2:17" customFormat="1">
      <c r="B22" s="54" t="s">
        <v>70</v>
      </c>
      <c r="C22" s="49">
        <f>1.83*2+1.85*2</f>
        <v>7.36</v>
      </c>
      <c r="D22" s="49">
        <v>3</v>
      </c>
      <c r="E22" s="49">
        <f>(1.6*0.6+0.9*2.1)*2</f>
        <v>5.7</v>
      </c>
      <c r="F22" s="50">
        <f t="shared" ref="F22:F28" si="3">(C22*D22*2)-E22</f>
        <v>38.46</v>
      </c>
      <c r="H22" s="65" t="s">
        <v>93</v>
      </c>
      <c r="I22" s="66">
        <f>12.83*2</f>
        <v>25.66</v>
      </c>
      <c r="J22" s="11"/>
      <c r="L22" s="143">
        <f>SUM(L6:L21)</f>
        <v>20.811999999999991</v>
      </c>
      <c r="M22" s="72" t="s">
        <v>36</v>
      </c>
      <c r="N22" s="96">
        <f>SUM(N6:N21)</f>
        <v>18.667999999999992</v>
      </c>
      <c r="O22" s="79"/>
      <c r="P22" s="78"/>
      <c r="Q22" s="79"/>
    </row>
    <row r="23" spans="2:17" customFormat="1">
      <c r="B23" s="54" t="s">
        <v>113</v>
      </c>
      <c r="C23" s="49">
        <v>7.1</v>
      </c>
      <c r="D23" s="49">
        <v>3</v>
      </c>
      <c r="E23" s="49">
        <f>0.7*2.1+0.6</f>
        <v>2.0699999999999998</v>
      </c>
      <c r="F23" s="50">
        <f t="shared" si="3"/>
        <v>40.529999999999994</v>
      </c>
      <c r="H23" s="84" t="s">
        <v>61</v>
      </c>
      <c r="I23" s="66">
        <v>9.0299999999999994</v>
      </c>
      <c r="J23" s="11"/>
      <c r="L23" s="93"/>
      <c r="M23" s="1058"/>
      <c r="N23" s="1058"/>
      <c r="O23" s="1058"/>
      <c r="P23" s="1058"/>
      <c r="Q23" s="81"/>
    </row>
    <row r="24" spans="2:17" customFormat="1">
      <c r="B24" s="54" t="s">
        <v>114</v>
      </c>
      <c r="C24" s="49">
        <v>8.4</v>
      </c>
      <c r="D24" s="49">
        <v>3</v>
      </c>
      <c r="E24" s="49">
        <f>0.7*2.1</f>
        <v>1.47</v>
      </c>
      <c r="F24" s="50">
        <f t="shared" si="3"/>
        <v>48.930000000000007</v>
      </c>
      <c r="H24" s="65" t="s">
        <v>72</v>
      </c>
      <c r="I24" s="66">
        <v>28.55</v>
      </c>
      <c r="J24" s="11"/>
      <c r="L24" s="93"/>
      <c r="M24" s="82"/>
      <c r="N24" s="82"/>
      <c r="O24" s="82"/>
      <c r="P24" s="82"/>
      <c r="Q24" s="82"/>
    </row>
    <row r="25" spans="2:17" s="11" customFormat="1">
      <c r="B25" s="54" t="s">
        <v>115</v>
      </c>
      <c r="C25" s="49">
        <v>8.74</v>
      </c>
      <c r="D25" s="49">
        <v>3</v>
      </c>
      <c r="E25" s="49">
        <f>0.8*2.1</f>
        <v>1.6800000000000002</v>
      </c>
      <c r="F25" s="50">
        <f t="shared" si="3"/>
        <v>50.76</v>
      </c>
      <c r="H25" s="65" t="s">
        <v>132</v>
      </c>
      <c r="I25" s="66">
        <v>7.76</v>
      </c>
      <c r="L25" s="93"/>
      <c r="M25" s="82"/>
      <c r="N25" s="82"/>
      <c r="O25" s="82"/>
      <c r="P25" s="82"/>
      <c r="Q25" s="82"/>
    </row>
    <row r="26" spans="2:17" customFormat="1">
      <c r="B26" s="54" t="s">
        <v>70</v>
      </c>
      <c r="C26" s="49">
        <v>11.55</v>
      </c>
      <c r="D26" s="49">
        <v>3</v>
      </c>
      <c r="E26" s="49">
        <f>(1.6*0.6)+(1.1*2.1)</f>
        <v>3.2700000000000005</v>
      </c>
      <c r="F26" s="50">
        <f t="shared" si="3"/>
        <v>66.030000000000015</v>
      </c>
      <c r="H26" s="65" t="s">
        <v>94</v>
      </c>
      <c r="I26" s="66">
        <v>8.11</v>
      </c>
      <c r="J26" s="11"/>
      <c r="L26" s="93"/>
    </row>
    <row r="27" spans="2:17" s="11" customFormat="1">
      <c r="B27" s="54" t="s">
        <v>118</v>
      </c>
      <c r="C27" s="49">
        <v>8.5</v>
      </c>
      <c r="D27" s="49">
        <v>3</v>
      </c>
      <c r="E27" s="49">
        <f>(0.9*2.1)+0.6</f>
        <v>2.4900000000000002</v>
      </c>
      <c r="F27" s="50">
        <f t="shared" si="3"/>
        <v>48.51</v>
      </c>
      <c r="H27" s="84" t="s">
        <v>133</v>
      </c>
      <c r="I27" s="66">
        <v>4.74</v>
      </c>
      <c r="L27" s="93"/>
    </row>
    <row r="28" spans="2:17" customFormat="1">
      <c r="B28" s="54" t="s">
        <v>68</v>
      </c>
      <c r="C28" s="49">
        <v>9.1999999999999993</v>
      </c>
      <c r="D28" s="49">
        <v>3</v>
      </c>
      <c r="E28" s="49">
        <f>(1.3*0.6+0.9*2.1)</f>
        <v>2.67</v>
      </c>
      <c r="F28" s="50">
        <f t="shared" si="3"/>
        <v>52.529999999999994</v>
      </c>
      <c r="H28" s="84" t="s">
        <v>134</v>
      </c>
      <c r="I28" s="66">
        <v>5.52</v>
      </c>
      <c r="J28" s="11"/>
      <c r="L28" s="93"/>
    </row>
    <row r="29" spans="2:17" customFormat="1">
      <c r="B29" s="86" t="s">
        <v>36</v>
      </c>
      <c r="C29" s="87"/>
      <c r="D29" s="87"/>
      <c r="E29" s="87"/>
      <c r="F29" s="88">
        <f>SUM(F6:F28)</f>
        <v>1013.8499999999999</v>
      </c>
      <c r="H29" s="65" t="s">
        <v>95</v>
      </c>
      <c r="I29" s="66">
        <v>4.33</v>
      </c>
      <c r="J29" s="11"/>
    </row>
    <row r="30" spans="2:17">
      <c r="H30" s="84" t="s">
        <v>68</v>
      </c>
      <c r="I30" s="66">
        <v>4.6500000000000004</v>
      </c>
      <c r="J30" s="11"/>
    </row>
    <row r="31" spans="2:17">
      <c r="H31" s="68" t="s">
        <v>96</v>
      </c>
      <c r="I31" s="66">
        <v>5.69</v>
      </c>
      <c r="J31" s="11"/>
    </row>
    <row r="32" spans="2:17">
      <c r="H32" s="85" t="s">
        <v>66</v>
      </c>
      <c r="I32" s="66">
        <v>7.48</v>
      </c>
      <c r="J32" s="11"/>
    </row>
    <row r="33" spans="8:10">
      <c r="H33" s="85" t="s">
        <v>114</v>
      </c>
      <c r="I33" s="66">
        <v>2.59</v>
      </c>
      <c r="J33" s="11"/>
    </row>
    <row r="34" spans="8:10">
      <c r="H34" s="65" t="s">
        <v>97</v>
      </c>
      <c r="I34" s="66">
        <f>7.21*2</f>
        <v>14.42</v>
      </c>
      <c r="J34" s="11"/>
    </row>
    <row r="35" spans="8:10">
      <c r="H35" s="65" t="s">
        <v>103</v>
      </c>
      <c r="I35" s="66">
        <v>5.94</v>
      </c>
      <c r="J35" s="32"/>
    </row>
    <row r="36" spans="8:10" s="11" customFormat="1">
      <c r="H36" s="72" t="s">
        <v>36</v>
      </c>
      <c r="I36" s="73">
        <f>SUM(I6:I35)</f>
        <v>247.44</v>
      </c>
      <c r="J36"/>
    </row>
    <row r="48" spans="8:10" s="11" customFormat="1"/>
    <row r="50" spans="2:4" s="11" customFormat="1"/>
    <row r="52" spans="2:4" s="11" customFormat="1"/>
    <row r="54" spans="2:4" s="11" customFormat="1"/>
    <row r="55" spans="2:4" s="11" customFormat="1"/>
    <row r="57" spans="2:4" s="11" customFormat="1"/>
    <row r="59" spans="2:4" s="11" customFormat="1"/>
    <row r="60" spans="2:4" s="11" customFormat="1"/>
    <row r="64" spans="2:4">
      <c r="B64" s="83"/>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20"/>
  <sheetViews>
    <sheetView workbookViewId="0"/>
  </sheetViews>
  <sheetFormatPr defaultRowHeight="12.75"/>
  <cols>
    <col min="1" max="1" width="57.85546875" customWidth="1"/>
  </cols>
  <sheetData>
    <row r="3" spans="1:6" s="11" customFormat="1">
      <c r="A3" s="185" t="s">
        <v>188</v>
      </c>
      <c r="B3" s="32" t="s">
        <v>207</v>
      </c>
      <c r="F3" s="32"/>
    </row>
    <row r="4" spans="1:6">
      <c r="A4" s="327" t="s">
        <v>189</v>
      </c>
      <c r="B4" s="283" t="s">
        <v>247</v>
      </c>
      <c r="F4" s="32"/>
    </row>
    <row r="5" spans="1:6">
      <c r="A5" s="185" t="s">
        <v>190</v>
      </c>
      <c r="B5" s="32" t="s">
        <v>208</v>
      </c>
      <c r="F5" s="32"/>
    </row>
    <row r="6" spans="1:6">
      <c r="A6" s="185" t="s">
        <v>191</v>
      </c>
      <c r="B6" s="32" t="s">
        <v>209</v>
      </c>
      <c r="F6" s="32"/>
    </row>
    <row r="7" spans="1:6">
      <c r="A7" s="185" t="s">
        <v>192</v>
      </c>
      <c r="B7" s="32" t="s">
        <v>245</v>
      </c>
      <c r="F7" s="32"/>
    </row>
    <row r="8" spans="1:6">
      <c r="A8" s="185" t="s">
        <v>193</v>
      </c>
      <c r="B8" s="32" t="s">
        <v>246</v>
      </c>
      <c r="F8" s="32"/>
    </row>
    <row r="9" spans="1:6" s="11" customFormat="1">
      <c r="A9" s="185" t="s">
        <v>248</v>
      </c>
      <c r="B9" s="32" t="s">
        <v>249</v>
      </c>
      <c r="F9" s="32"/>
    </row>
    <row r="10" spans="1:6" s="11" customFormat="1">
      <c r="A10" s="185"/>
      <c r="B10" s="32"/>
      <c r="F10" s="32"/>
    </row>
    <row r="11" spans="1:6" s="11" customFormat="1">
      <c r="A11" s="185"/>
      <c r="B11" s="32"/>
      <c r="F11" s="32"/>
    </row>
    <row r="14" spans="1:6">
      <c r="A14" s="15" t="s">
        <v>49</v>
      </c>
    </row>
    <row r="15" spans="1:6">
      <c r="A15" s="15" t="s">
        <v>173</v>
      </c>
    </row>
    <row r="16" spans="1:6">
      <c r="A16" s="15" t="s">
        <v>175</v>
      </c>
    </row>
    <row r="17" spans="1:1">
      <c r="A17" s="15" t="s">
        <v>176</v>
      </c>
    </row>
    <row r="18" spans="1:1">
      <c r="A18" s="15" t="s">
        <v>174</v>
      </c>
    </row>
    <row r="19" spans="1:1">
      <c r="A19" s="15" t="s">
        <v>177</v>
      </c>
    </row>
    <row r="20" spans="1:1">
      <c r="A20" s="192" t="s">
        <v>42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heetViews>
  <sheetFormatPr defaultRowHeight="12.75"/>
  <cols>
    <col min="1" max="1" width="42.140625" customWidth="1"/>
    <col min="2" max="2" width="48.42578125" customWidth="1"/>
  </cols>
  <sheetData>
    <row r="1" spans="1:2" ht="96.75" customHeight="1">
      <c r="A1" s="184" t="str">
        <f>[3]referencia!A3</f>
        <v>PREFEITURA MUNICIPAL DE ANASTÁCIO</v>
      </c>
      <c r="B1" s="442"/>
    </row>
    <row r="2" spans="1:2" ht="96.75" customHeight="1">
      <c r="A2" s="184" t="str">
        <f>[3]referencia!A4</f>
        <v>PREFEITURA MUNICIPAL DE BANDEIRANTES</v>
      </c>
      <c r="B2" s="442"/>
    </row>
    <row r="3" spans="1:2" ht="96.75" customHeight="1">
      <c r="A3" s="184" t="str">
        <f>[3]referencia!A5</f>
        <v>PREFEITURA MUNICIPAL DE BODOQUENA</v>
      </c>
      <c r="B3" s="442"/>
    </row>
    <row r="4" spans="1:2" ht="96.75" customHeight="1">
      <c r="A4" s="184" t="str">
        <f>[3]referencia!A6</f>
        <v>PREFEITURA MUNICIPAL DE ELDORADO</v>
      </c>
      <c r="B4" s="442"/>
    </row>
    <row r="5" spans="1:2" ht="96.75" customHeight="1">
      <c r="A5" s="184" t="str">
        <f>[3]referencia!A7</f>
        <v>PREFEITURA MUNICIPAL DE NOVA ALVORADA DO SUL</v>
      </c>
      <c r="B5" s="442"/>
    </row>
    <row r="6" spans="1:2" ht="96.75" customHeight="1">
      <c r="A6" s="184" t="str">
        <f>[3]referencia!A8</f>
        <v>PREFEITURA MUNICIPAL DE PORTO MURTINHO</v>
      </c>
      <c r="B6" s="442"/>
    </row>
    <row r="7" spans="1:2" ht="96.75" customHeight="1">
      <c r="A7" s="184" t="s">
        <v>248</v>
      </c>
    </row>
    <row r="8" spans="1:2" ht="96.75" customHeight="1"/>
    <row r="9" spans="1:2" ht="96.75" customHeight="1"/>
    <row r="10" spans="1:2" ht="96.75" customHeight="1"/>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312"/>
  <sheetViews>
    <sheetView showGridLines="0" zoomScaleNormal="85" zoomScaleSheetLayoutView="85" workbookViewId="0">
      <selection activeCell="F34" sqref="F34"/>
    </sheetView>
  </sheetViews>
  <sheetFormatPr defaultColWidth="9.140625" defaultRowHeight="12.75"/>
  <cols>
    <col min="1" max="1" width="2.28515625" style="733" customWidth="1"/>
    <col min="2" max="2" width="35.85546875" style="733" customWidth="1"/>
    <col min="3" max="6" width="14.7109375" style="733" customWidth="1"/>
    <col min="7" max="7" width="2.28515625" style="733" customWidth="1"/>
    <col min="8" max="8" width="3.28515625" style="733" customWidth="1"/>
    <col min="9" max="9" width="23.140625" style="733" hidden="1" customWidth="1"/>
    <col min="10" max="10" width="47.7109375" style="733" hidden="1" customWidth="1"/>
    <col min="11" max="12" width="9.140625" style="733"/>
    <col min="13" max="13" width="18.7109375" style="733" bestFit="1" customWidth="1"/>
    <col min="14" max="14" width="0" style="733" hidden="1" customWidth="1"/>
    <col min="15" max="15" width="15.42578125" style="733" hidden="1" customWidth="1"/>
    <col min="16" max="16" width="41.7109375" style="733" hidden="1" customWidth="1"/>
    <col min="17" max="17" width="18.85546875" style="733" hidden="1" customWidth="1"/>
    <col min="18" max="24" width="11.7109375" style="733" hidden="1" customWidth="1"/>
    <col min="25" max="37" width="0" style="733" hidden="1" customWidth="1"/>
    <col min="38" max="38" width="13.85546875" style="733" hidden="1" customWidth="1"/>
    <col min="39" max="39" width="38.7109375" style="733" hidden="1" customWidth="1"/>
    <col min="40" max="40" width="11.85546875" style="733" hidden="1" customWidth="1"/>
    <col min="41" max="41" width="8.7109375" style="733" hidden="1" customWidth="1"/>
    <col min="42" max="42" width="11.85546875" style="733" hidden="1" customWidth="1"/>
    <col min="43" max="43" width="9.28515625" style="733" hidden="1" customWidth="1"/>
    <col min="44" max="44" width="11.85546875" style="733" hidden="1" customWidth="1"/>
    <col min="45" max="45" width="7.28515625" style="733" hidden="1" customWidth="1"/>
    <col min="46" max="46" width="9.140625" style="733"/>
    <col min="47" max="47" width="13.28515625" style="733" bestFit="1" customWidth="1"/>
    <col min="48" max="71" width="9.140625" style="733"/>
    <col min="72" max="72" width="22.7109375" style="733" bestFit="1" customWidth="1"/>
    <col min="73" max="73" width="29" style="733" customWidth="1"/>
    <col min="74" max="74" width="9.5703125" style="733" customWidth="1"/>
    <col min="75" max="75" width="11.5703125" style="733" customWidth="1"/>
    <col min="76" max="76" width="10.7109375" style="733" customWidth="1"/>
    <col min="77" max="77" width="9.140625" style="733"/>
    <col min="78" max="81" width="2.42578125" style="733" customWidth="1"/>
    <col min="82" max="82" width="4.85546875" style="733" bestFit="1" customWidth="1"/>
    <col min="83" max="83" width="29.42578125" style="733" bestFit="1" customWidth="1"/>
    <col min="84" max="84" width="17" style="733" bestFit="1" customWidth="1"/>
    <col min="85" max="85" width="14.42578125" style="733" bestFit="1" customWidth="1"/>
    <col min="86" max="86" width="17" style="733" bestFit="1" customWidth="1"/>
    <col min="87" max="87" width="8.85546875" style="733" customWidth="1"/>
    <col min="88" max="97" width="2.42578125" style="733" customWidth="1"/>
    <col min="98" max="16384" width="9.140625" style="733"/>
  </cols>
  <sheetData>
    <row r="1" spans="1:48" ht="21.75" thickTop="1" thickBot="1">
      <c r="A1" s="731"/>
      <c r="B1" s="897" t="s">
        <v>430</v>
      </c>
      <c r="C1" s="897"/>
      <c r="D1" s="897"/>
      <c r="E1" s="897"/>
      <c r="F1" s="897"/>
      <c r="G1" s="732"/>
    </row>
    <row r="2" spans="1:48" ht="3.75" customHeight="1" thickTop="1" thickBot="1">
      <c r="B2" s="734"/>
      <c r="C2" s="734"/>
      <c r="D2" s="734"/>
      <c r="E2" s="734"/>
      <c r="F2" s="734"/>
    </row>
    <row r="3" spans="1:48" ht="3.75" customHeight="1">
      <c r="A3" s="735"/>
      <c r="B3" s="736"/>
      <c r="C3" s="736"/>
      <c r="D3" s="736"/>
      <c r="E3" s="736"/>
      <c r="F3" s="736"/>
      <c r="G3" s="737"/>
    </row>
    <row r="4" spans="1:48">
      <c r="A4" s="738"/>
      <c r="B4" s="898" t="s">
        <v>431</v>
      </c>
      <c r="C4" s="898"/>
      <c r="D4" s="898"/>
      <c r="E4" s="898"/>
      <c r="F4" s="898"/>
      <c r="G4" s="739"/>
    </row>
    <row r="5" spans="1:48" ht="3.75" customHeight="1">
      <c r="A5" s="738"/>
      <c r="B5" s="740"/>
      <c r="C5" s="740"/>
      <c r="D5" s="740"/>
      <c r="E5" s="740"/>
      <c r="F5" s="740"/>
      <c r="G5" s="739"/>
    </row>
    <row r="6" spans="1:48" ht="38.25" customHeight="1">
      <c r="A6" s="738"/>
      <c r="B6" s="741" t="s">
        <v>432</v>
      </c>
      <c r="C6" s="899" t="s">
        <v>433</v>
      </c>
      <c r="D6" s="900"/>
      <c r="E6" s="900"/>
      <c r="F6" s="901"/>
      <c r="G6" s="739"/>
    </row>
    <row r="7" spans="1:48">
      <c r="A7" s="738"/>
      <c r="B7" s="740"/>
      <c r="G7" s="739"/>
    </row>
    <row r="8" spans="1:48">
      <c r="A8" s="738"/>
      <c r="B8" s="741" t="s">
        <v>434</v>
      </c>
      <c r="F8" s="742" t="s">
        <v>435</v>
      </c>
      <c r="G8" s="739"/>
      <c r="K8" s="743" t="str">
        <f>IF(F8="","PREENCHER SE A OBRA POSSUI FOLHA DE PAGAMENTO DESONERADA","")</f>
        <v/>
      </c>
    </row>
    <row r="9" spans="1:48">
      <c r="A9" s="738"/>
      <c r="B9" s="744" t="s">
        <v>436</v>
      </c>
      <c r="G9" s="739"/>
    </row>
    <row r="10" spans="1:48">
      <c r="A10" s="738"/>
      <c r="B10" s="740"/>
      <c r="C10" s="740"/>
      <c r="D10" s="740"/>
      <c r="E10" s="745"/>
      <c r="F10" s="740"/>
      <c r="G10" s="739"/>
    </row>
    <row r="11" spans="1:48">
      <c r="A11" s="738"/>
      <c r="B11" s="740" t="s">
        <v>437</v>
      </c>
      <c r="C11" s="740"/>
      <c r="D11" s="740"/>
      <c r="E11" s="745"/>
      <c r="F11" s="740"/>
      <c r="G11" s="739"/>
    </row>
    <row r="12" spans="1:48" ht="151.5" customHeight="1">
      <c r="A12" s="738"/>
      <c r="B12" s="902"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903"/>
      <c r="D12" s="903"/>
      <c r="E12" s="903"/>
      <c r="F12" s="904"/>
      <c r="G12" s="739"/>
    </row>
    <row r="13" spans="1:48" ht="3.75" customHeight="1">
      <c r="A13" s="738"/>
      <c r="B13" s="740"/>
      <c r="C13" s="740"/>
      <c r="D13" s="740"/>
      <c r="E13" s="745"/>
      <c r="F13" s="740"/>
      <c r="G13" s="739"/>
    </row>
    <row r="14" spans="1:48">
      <c r="A14" s="738"/>
      <c r="B14" s="740" t="s">
        <v>438</v>
      </c>
      <c r="C14" s="740"/>
      <c r="D14" s="740"/>
      <c r="E14" s="745"/>
      <c r="F14" s="740"/>
      <c r="G14" s="739"/>
    </row>
    <row r="15" spans="1:48" ht="3.75" customHeight="1">
      <c r="A15" s="738"/>
      <c r="B15" s="740"/>
      <c r="C15" s="740"/>
      <c r="D15" s="740"/>
      <c r="E15" s="745"/>
      <c r="F15" s="740"/>
      <c r="G15" s="739"/>
    </row>
    <row r="16" spans="1:48">
      <c r="A16" s="738"/>
      <c r="B16" s="740" t="s">
        <v>439</v>
      </c>
      <c r="C16" s="740"/>
      <c r="D16" s="905">
        <v>3.6499999999999998E-2</v>
      </c>
      <c r="E16" s="905"/>
      <c r="F16" s="905"/>
      <c r="G16" s="739"/>
      <c r="K16" s="895"/>
      <c r="L16" s="895"/>
      <c r="M16" s="895"/>
      <c r="N16" s="895"/>
      <c r="O16" s="895"/>
      <c r="P16" s="895"/>
      <c r="Q16" s="895"/>
      <c r="R16" s="895"/>
      <c r="S16" s="895"/>
      <c r="T16" s="895"/>
      <c r="U16" s="895"/>
      <c r="V16" s="895"/>
      <c r="W16" s="895"/>
      <c r="X16" s="895"/>
      <c r="Y16" s="895"/>
      <c r="Z16" s="895"/>
      <c r="AA16" s="895"/>
      <c r="AB16" s="895"/>
      <c r="AC16" s="895"/>
      <c r="AD16" s="895"/>
      <c r="AE16" s="895"/>
      <c r="AF16" s="895"/>
      <c r="AG16" s="895"/>
      <c r="AH16" s="895"/>
      <c r="AI16" s="895"/>
      <c r="AJ16" s="895"/>
      <c r="AK16" s="895"/>
      <c r="AL16" s="895"/>
      <c r="AM16" s="895"/>
      <c r="AN16" s="895"/>
      <c r="AO16" s="895"/>
      <c r="AP16" s="895"/>
      <c r="AQ16" s="895"/>
      <c r="AR16" s="895"/>
      <c r="AS16" s="895"/>
      <c r="AT16" s="895"/>
      <c r="AU16" s="895"/>
      <c r="AV16" s="895"/>
    </row>
    <row r="17" spans="1:48" ht="9.75" customHeight="1">
      <c r="A17" s="738"/>
      <c r="B17" s="740"/>
      <c r="C17" s="740"/>
      <c r="D17" s="740"/>
      <c r="E17" s="746"/>
      <c r="F17" s="746"/>
      <c r="G17" s="739"/>
      <c r="K17" s="895"/>
      <c r="L17" s="895"/>
      <c r="M17" s="895"/>
      <c r="N17" s="895"/>
      <c r="O17" s="895"/>
      <c r="P17" s="895"/>
      <c r="Q17" s="895"/>
      <c r="R17" s="895"/>
      <c r="S17" s="895"/>
      <c r="T17" s="895"/>
      <c r="U17" s="895"/>
      <c r="V17" s="895"/>
      <c r="W17" s="895"/>
      <c r="X17" s="895"/>
      <c r="Y17" s="895"/>
      <c r="Z17" s="895"/>
      <c r="AA17" s="895"/>
      <c r="AB17" s="895"/>
      <c r="AC17" s="895"/>
      <c r="AD17" s="895"/>
      <c r="AE17" s="895"/>
      <c r="AF17" s="895"/>
      <c r="AG17" s="895"/>
      <c r="AH17" s="895"/>
      <c r="AI17" s="895"/>
      <c r="AJ17" s="895"/>
      <c r="AK17" s="895"/>
      <c r="AL17" s="895"/>
      <c r="AM17" s="895"/>
      <c r="AN17" s="895"/>
      <c r="AO17" s="895"/>
      <c r="AP17" s="895"/>
      <c r="AQ17" s="895"/>
      <c r="AR17" s="895"/>
      <c r="AS17" s="895"/>
      <c r="AT17" s="895"/>
      <c r="AU17" s="895"/>
      <c r="AV17" s="895"/>
    </row>
    <row r="18" spans="1:48">
      <c r="A18" s="738"/>
      <c r="B18" s="740" t="s">
        <v>440</v>
      </c>
      <c r="C18" s="740"/>
      <c r="D18" s="906" t="s">
        <v>441</v>
      </c>
      <c r="E18" s="906"/>
      <c r="F18" s="906"/>
      <c r="G18" s="739"/>
      <c r="K18" s="747"/>
    </row>
    <row r="19" spans="1:48">
      <c r="A19" s="738"/>
      <c r="B19" s="748">
        <v>0.05</v>
      </c>
      <c r="C19" s="749"/>
      <c r="D19" s="905">
        <v>1</v>
      </c>
      <c r="E19" s="905"/>
      <c r="F19" s="905"/>
      <c r="G19" s="739"/>
      <c r="K19" s="747"/>
    </row>
    <row r="20" spans="1:48" ht="3.75" customHeight="1">
      <c r="A20" s="738"/>
      <c r="B20" s="750"/>
      <c r="C20" s="740"/>
      <c r="D20" s="740" t="s">
        <v>442</v>
      </c>
      <c r="E20" s="740"/>
      <c r="F20" s="740"/>
      <c r="G20" s="739"/>
      <c r="K20" s="747"/>
    </row>
    <row r="21" spans="1:48">
      <c r="A21" s="738"/>
      <c r="B21" s="740" t="s">
        <v>443</v>
      </c>
      <c r="C21" s="751">
        <f>+B19*D19</f>
        <v>0.05</v>
      </c>
      <c r="D21" s="752"/>
      <c r="E21" s="753"/>
      <c r="F21" s="750"/>
      <c r="G21" s="739"/>
      <c r="K21" s="747"/>
    </row>
    <row r="22" spans="1:48" ht="3.75" customHeight="1">
      <c r="A22" s="738"/>
      <c r="B22" s="750"/>
      <c r="C22" s="751"/>
      <c r="D22" s="750"/>
      <c r="E22" s="750"/>
      <c r="F22" s="750"/>
      <c r="G22" s="739"/>
      <c r="K22" s="747"/>
    </row>
    <row r="23" spans="1:48" ht="15.75">
      <c r="A23" s="738"/>
      <c r="D23" s="896" t="s">
        <v>444</v>
      </c>
      <c r="E23" s="896"/>
      <c r="F23" s="754">
        <f>D16+C21</f>
        <v>8.6499999999999994E-2</v>
      </c>
      <c r="G23" s="739"/>
      <c r="K23" s="747"/>
    </row>
    <row r="24" spans="1:48" ht="3.75" customHeight="1">
      <c r="A24" s="738"/>
      <c r="B24" s="750"/>
      <c r="C24" s="751"/>
      <c r="D24" s="750"/>
      <c r="E24" s="750"/>
      <c r="F24" s="750"/>
      <c r="G24" s="739"/>
      <c r="K24" s="747"/>
    </row>
    <row r="25" spans="1:48" ht="26.25" customHeight="1">
      <c r="A25" s="738"/>
      <c r="B25" s="907" t="s">
        <v>445</v>
      </c>
      <c r="C25" s="907"/>
      <c r="D25" s="907"/>
      <c r="E25" s="907"/>
      <c r="F25" s="907"/>
      <c r="G25" s="739"/>
      <c r="K25" s="747"/>
      <c r="M25" s="755"/>
    </row>
    <row r="26" spans="1:48" ht="3.75" customHeight="1" thickBot="1">
      <c r="A26" s="756"/>
      <c r="B26" s="908"/>
      <c r="C26" s="908"/>
      <c r="D26" s="908"/>
      <c r="E26" s="908"/>
      <c r="F26" s="908"/>
      <c r="G26" s="757"/>
      <c r="K26" s="747"/>
    </row>
    <row r="27" spans="1:48" ht="6.75" customHeight="1" thickBot="1">
      <c r="A27" s="750"/>
      <c r="B27" s="750"/>
      <c r="C27" s="750"/>
      <c r="D27" s="750"/>
      <c r="E27" s="750"/>
      <c r="F27" s="750"/>
      <c r="G27" s="750"/>
      <c r="K27" s="747"/>
    </row>
    <row r="28" spans="1:48" ht="3.75" customHeight="1">
      <c r="A28" s="758"/>
      <c r="B28" s="759"/>
      <c r="C28" s="759"/>
      <c r="D28" s="759"/>
      <c r="E28" s="759"/>
      <c r="F28" s="759"/>
      <c r="G28" s="760"/>
      <c r="K28" s="747"/>
    </row>
    <row r="29" spans="1:48">
      <c r="A29" s="738"/>
      <c r="B29" s="896" t="s">
        <v>446</v>
      </c>
      <c r="C29" s="896"/>
      <c r="D29" s="896"/>
      <c r="E29" s="896"/>
      <c r="F29" s="896"/>
      <c r="G29" s="739"/>
      <c r="K29" s="747"/>
    </row>
    <row r="30" spans="1:48">
      <c r="A30" s="738"/>
      <c r="B30" s="896"/>
      <c r="C30" s="896"/>
      <c r="D30" s="896"/>
      <c r="E30" s="896"/>
      <c r="F30" s="896"/>
      <c r="G30" s="739"/>
      <c r="K30" s="747"/>
    </row>
    <row r="31" spans="1:48">
      <c r="A31" s="738"/>
      <c r="B31" s="761" t="s">
        <v>447</v>
      </c>
      <c r="C31" s="761" t="s">
        <v>448</v>
      </c>
      <c r="D31" s="761" t="s">
        <v>449</v>
      </c>
      <c r="E31" s="761" t="s">
        <v>450</v>
      </c>
      <c r="F31" s="762" t="s">
        <v>451</v>
      </c>
      <c r="G31" s="739"/>
      <c r="I31" s="763" t="s">
        <v>452</v>
      </c>
      <c r="K31" s="747"/>
    </row>
    <row r="32" spans="1:48">
      <c r="A32" s="738"/>
      <c r="B32" s="764" t="s">
        <v>453</v>
      </c>
      <c r="C32" s="765">
        <f t="shared" ref="C32:E36" si="0">BV296</f>
        <v>0.03</v>
      </c>
      <c r="D32" s="765">
        <f t="shared" si="0"/>
        <v>0.04</v>
      </c>
      <c r="E32" s="765">
        <f t="shared" si="0"/>
        <v>5.5E-2</v>
      </c>
      <c r="F32" s="766">
        <v>0.03</v>
      </c>
      <c r="G32" s="767"/>
      <c r="H32" s="768"/>
      <c r="I32" s="768">
        <f>TRUNC(F32,4)</f>
        <v>0.03</v>
      </c>
      <c r="K32" s="743" t="str">
        <f>IF(F32&lt;&gt;"",IF(OR(F32&gt;E32,F32&lt;C32),"CORRIGIR % ADOTADO",""),"")</f>
        <v/>
      </c>
    </row>
    <row r="33" spans="1:11">
      <c r="A33" s="738"/>
      <c r="B33" s="764" t="s">
        <v>454</v>
      </c>
      <c r="C33" s="765">
        <f t="shared" si="0"/>
        <v>8.0000000000000002E-3</v>
      </c>
      <c r="D33" s="765">
        <f t="shared" si="0"/>
        <v>8.0000000000000002E-3</v>
      </c>
      <c r="E33" s="765">
        <f t="shared" si="0"/>
        <v>0.01</v>
      </c>
      <c r="F33" s="769">
        <v>8.0000000000000002E-3</v>
      </c>
      <c r="G33" s="767"/>
      <c r="H33" s="768"/>
      <c r="I33" s="768">
        <f>TRUNC(F33,4)</f>
        <v>8.0000000000000002E-3</v>
      </c>
      <c r="K33" s="743" t="str">
        <f>IF(F33&lt;&gt;"",IF(OR(F33&gt;E33,F33&lt;C33),"CORRIGIR % ADOTADO",""),"")</f>
        <v/>
      </c>
    </row>
    <row r="34" spans="1:11">
      <c r="A34" s="738"/>
      <c r="B34" s="764" t="s">
        <v>455</v>
      </c>
      <c r="C34" s="765">
        <f t="shared" si="0"/>
        <v>9.7000000000000003E-3</v>
      </c>
      <c r="D34" s="765">
        <f t="shared" si="0"/>
        <v>1.2699999999999999E-2</v>
      </c>
      <c r="E34" s="765">
        <f t="shared" si="0"/>
        <v>1.2699999999999999E-2</v>
      </c>
      <c r="F34" s="769">
        <v>9.7000000000000003E-3</v>
      </c>
      <c r="G34" s="767"/>
      <c r="H34" s="768"/>
      <c r="I34" s="768">
        <f>TRUNC(F34,4)</f>
        <v>9.7000000000000003E-3</v>
      </c>
      <c r="K34" s="743" t="str">
        <f>IF(F34&lt;&gt;"",IF(OR(F34&gt;E34,F34&lt;C34),"CORRIGIR % ADOTADO",""),"")</f>
        <v/>
      </c>
    </row>
    <row r="35" spans="1:11">
      <c r="A35" s="738"/>
      <c r="B35" s="764" t="s">
        <v>456</v>
      </c>
      <c r="C35" s="765">
        <f t="shared" si="0"/>
        <v>5.8999999999999999E-3</v>
      </c>
      <c r="D35" s="765">
        <f t="shared" si="0"/>
        <v>1.23E-2</v>
      </c>
      <c r="E35" s="765">
        <f t="shared" si="0"/>
        <v>1.3899999999999999E-2</v>
      </c>
      <c r="F35" s="769">
        <v>5.8999999999999999E-3</v>
      </c>
      <c r="G35" s="767"/>
      <c r="H35" s="768"/>
      <c r="I35" s="768">
        <f>TRUNC(F35,4)</f>
        <v>5.8999999999999999E-3</v>
      </c>
      <c r="K35" s="743" t="str">
        <f>IF(F35&lt;&gt;"",IF(OR(F35&gt;E35,F35&lt;C35),"CORRIGIR % ADOTADO",""),"")</f>
        <v/>
      </c>
    </row>
    <row r="36" spans="1:11">
      <c r="A36" s="738"/>
      <c r="B36" s="764" t="s">
        <v>457</v>
      </c>
      <c r="C36" s="765">
        <f t="shared" si="0"/>
        <v>6.1600000000000002E-2</v>
      </c>
      <c r="D36" s="765">
        <f t="shared" si="0"/>
        <v>7.3999999999999996E-2</v>
      </c>
      <c r="E36" s="765">
        <f t="shared" si="0"/>
        <v>8.9599999999999999E-2</v>
      </c>
      <c r="F36" s="770">
        <v>6.1600000000000002E-2</v>
      </c>
      <c r="G36" s="767"/>
      <c r="H36" s="768"/>
      <c r="I36" s="768">
        <f>TRUNC(F36,4)</f>
        <v>6.1600000000000002E-2</v>
      </c>
      <c r="K36" s="743" t="str">
        <f>IF(F36&lt;&gt;"",IF(OR(F36&gt;E36,F36&lt;C36),"CORRIGIR % ADOTADO",""),"")</f>
        <v/>
      </c>
    </row>
    <row r="37" spans="1:11" ht="3.75" customHeight="1">
      <c r="A37" s="738"/>
      <c r="B37" s="764"/>
      <c r="C37" s="765"/>
      <c r="D37" s="765"/>
      <c r="E37" s="765"/>
      <c r="F37" s="750"/>
      <c r="G37" s="767"/>
      <c r="H37" s="768"/>
    </row>
    <row r="38" spans="1:11">
      <c r="A38" s="738"/>
      <c r="B38" s="771" t="s">
        <v>458</v>
      </c>
      <c r="C38" s="765"/>
      <c r="D38" s="765"/>
      <c r="E38" s="765"/>
      <c r="F38" s="772">
        <f>F23</f>
        <v>8.6499999999999994E-2</v>
      </c>
      <c r="G38" s="767"/>
      <c r="H38" s="768"/>
      <c r="I38" s="773">
        <f>TRUNC(F38,5)</f>
        <v>8.6499999999999994E-2</v>
      </c>
    </row>
    <row r="39" spans="1:11" ht="3.75" customHeight="1">
      <c r="A39" s="738"/>
      <c r="B39" s="771"/>
      <c r="C39" s="765"/>
      <c r="D39" s="765"/>
      <c r="E39" s="765"/>
      <c r="F39" s="772"/>
      <c r="G39" s="767"/>
      <c r="H39" s="768"/>
      <c r="I39" s="773"/>
    </row>
    <row r="40" spans="1:11" ht="3.75" customHeight="1">
      <c r="A40" s="738"/>
      <c r="B40" s="750"/>
      <c r="C40" s="750"/>
      <c r="D40" s="750"/>
      <c r="E40" s="750"/>
      <c r="F40" s="750"/>
      <c r="G40" s="767"/>
      <c r="H40" s="768"/>
    </row>
    <row r="41" spans="1:11">
      <c r="A41" s="738"/>
      <c r="B41" s="750"/>
      <c r="C41" s="750"/>
      <c r="D41" s="750"/>
      <c r="E41" s="750"/>
      <c r="F41" s="750"/>
      <c r="G41" s="739"/>
    </row>
    <row r="42" spans="1:11">
      <c r="A42" s="738"/>
      <c r="B42" s="750"/>
      <c r="C42" s="750"/>
      <c r="D42" s="750"/>
      <c r="E42" s="750"/>
      <c r="F42" s="750"/>
      <c r="G42" s="739"/>
    </row>
    <row r="43" spans="1:11">
      <c r="A43" s="738"/>
      <c r="B43" s="750"/>
      <c r="C43" s="750"/>
      <c r="D43" s="750"/>
      <c r="E43" s="750"/>
      <c r="F43" s="750"/>
      <c r="G43" s="739"/>
    </row>
    <row r="44" spans="1:11" ht="3.75" customHeight="1">
      <c r="A44" s="738"/>
      <c r="B44" s="750"/>
      <c r="C44" s="750"/>
      <c r="D44" s="750"/>
      <c r="E44" s="750"/>
      <c r="F44" s="750"/>
      <c r="G44" s="739"/>
    </row>
    <row r="45" spans="1:11" ht="15.75">
      <c r="A45" s="738"/>
      <c r="B45" s="774" t="s">
        <v>459</v>
      </c>
      <c r="E45" s="909">
        <f>ROUND((((1+I32+I33+I34)*(1+I35)*(1+I36))/(1-I38))-1,4)</f>
        <v>0.22470000000000001</v>
      </c>
      <c r="F45" s="909"/>
      <c r="G45" s="739"/>
      <c r="K45" s="775" t="str">
        <f>IF(F8="SIM","PARA SIMPLES CONFERÊNCIA","")</f>
        <v>PARA SIMPLES CONFERÊNCIA</v>
      </c>
    </row>
    <row r="46" spans="1:11" ht="3.75" customHeight="1" thickBot="1">
      <c r="A46" s="738"/>
      <c r="B46" s="774"/>
      <c r="E46" s="776"/>
      <c r="F46" s="776"/>
      <c r="G46" s="739"/>
    </row>
    <row r="47" spans="1:11" ht="21.75" thickTop="1" thickBot="1">
      <c r="A47" s="738"/>
      <c r="B47" s="910" t="str">
        <f>IF(E45&lt;C50,"ERRO - BDI INFERIOR AO 1º QUARTIL",IF(E45&gt;E50,"ERRO - BDI SUPERIOR AO 3º QUARTIL","BDI CONFORME"))</f>
        <v>BDI CONFORME</v>
      </c>
      <c r="C47" s="911"/>
      <c r="D47" s="911"/>
      <c r="E47" s="911"/>
      <c r="F47" s="912"/>
      <c r="G47" s="739"/>
    </row>
    <row r="48" spans="1:11" ht="3.75" customHeight="1" thickTop="1">
      <c r="A48" s="738"/>
      <c r="B48" s="777"/>
      <c r="C48" s="777"/>
      <c r="D48" s="777"/>
      <c r="E48" s="777"/>
      <c r="F48" s="777"/>
      <c r="G48" s="739"/>
    </row>
    <row r="49" spans="1:48">
      <c r="A49" s="738"/>
      <c r="B49" s="750"/>
      <c r="C49" s="761" t="s">
        <v>448</v>
      </c>
      <c r="D49" s="761" t="s">
        <v>449</v>
      </c>
      <c r="E49" s="761" t="s">
        <v>450</v>
      </c>
      <c r="F49" s="750"/>
      <c r="G49" s="739"/>
    </row>
    <row r="50" spans="1:48">
      <c r="A50" s="738"/>
      <c r="B50" s="771" t="s">
        <v>460</v>
      </c>
      <c r="C50" s="765">
        <f>BV295</f>
        <v>0.2034</v>
      </c>
      <c r="D50" s="765">
        <f>BW295</f>
        <v>0.22120000000000001</v>
      </c>
      <c r="E50" s="765">
        <f>BX295</f>
        <v>0.25</v>
      </c>
      <c r="F50" s="750"/>
      <c r="G50" s="739"/>
    </row>
    <row r="51" spans="1:48" ht="3.75" customHeight="1">
      <c r="A51" s="738"/>
      <c r="B51" s="771"/>
      <c r="C51" s="765"/>
      <c r="D51" s="765"/>
      <c r="E51" s="765"/>
      <c r="F51" s="750"/>
      <c r="G51" s="739"/>
    </row>
    <row r="52" spans="1:48">
      <c r="A52" s="738"/>
      <c r="B52" s="896" t="s">
        <v>461</v>
      </c>
      <c r="C52" s="896"/>
      <c r="D52" s="896"/>
      <c r="E52" s="896"/>
      <c r="F52" s="896"/>
      <c r="G52" s="739"/>
    </row>
    <row r="53" spans="1:48" ht="3.75" customHeight="1" thickBot="1">
      <c r="A53" s="738"/>
      <c r="B53" s="778"/>
      <c r="C53" s="778"/>
      <c r="D53" s="778"/>
      <c r="E53" s="778"/>
      <c r="F53" s="778"/>
      <c r="G53" s="739"/>
    </row>
    <row r="54" spans="1:48" ht="17.25" thickTop="1" thickBot="1">
      <c r="A54" s="738"/>
      <c r="B54" s="913" t="s">
        <v>462</v>
      </c>
      <c r="C54" s="913"/>
      <c r="D54" s="913"/>
      <c r="E54" s="914">
        <f>ROUND((((1+I32+I33+I34)*(1+I35)*(1+I36))/(1-I56))-1,4)</f>
        <v>0.28820000000000001</v>
      </c>
      <c r="F54" s="915"/>
      <c r="G54" s="739"/>
      <c r="K54" s="740" t="str">
        <f>IF(F8="SIM","UTILIZAR BDI C/ DESONERAÇÃO","")</f>
        <v>UTILIZAR BDI C/ DESONERAÇÃO</v>
      </c>
      <c r="L54" s="779"/>
      <c r="M54" s="779"/>
      <c r="N54" s="779"/>
      <c r="O54" s="779"/>
      <c r="P54" s="779"/>
      <c r="Q54" s="779"/>
      <c r="R54" s="779"/>
      <c r="S54" s="779"/>
      <c r="T54" s="779"/>
      <c r="U54" s="779"/>
      <c r="V54" s="779"/>
      <c r="W54" s="779"/>
      <c r="X54" s="779"/>
      <c r="Y54" s="779"/>
      <c r="Z54" s="779"/>
      <c r="AA54" s="779"/>
      <c r="AB54" s="779"/>
      <c r="AC54" s="779"/>
      <c r="AD54" s="779"/>
      <c r="AE54" s="779"/>
      <c r="AF54" s="779"/>
      <c r="AG54" s="779"/>
      <c r="AH54" s="779"/>
      <c r="AI54" s="779"/>
      <c r="AJ54" s="779"/>
      <c r="AK54" s="779"/>
      <c r="AL54" s="779"/>
      <c r="AM54" s="779"/>
      <c r="AN54" s="779"/>
      <c r="AO54" s="779"/>
      <c r="AP54" s="779"/>
      <c r="AQ54" s="779"/>
      <c r="AR54" s="779"/>
      <c r="AS54" s="779"/>
      <c r="AT54" s="779"/>
      <c r="AU54" s="779"/>
      <c r="AV54" s="779"/>
    </row>
    <row r="55" spans="1:48" ht="3.75" customHeight="1" thickTop="1">
      <c r="A55" s="738"/>
      <c r="B55" s="771"/>
      <c r="C55" s="765"/>
      <c r="D55" s="765"/>
      <c r="E55" s="765"/>
      <c r="F55" s="750"/>
      <c r="G55" s="739"/>
      <c r="K55" s="779"/>
      <c r="L55" s="779"/>
      <c r="M55" s="779"/>
      <c r="N55" s="779"/>
      <c r="O55" s="779"/>
      <c r="P55" s="779"/>
      <c r="Q55" s="779"/>
      <c r="R55" s="779"/>
      <c r="S55" s="779"/>
      <c r="T55" s="779"/>
      <c r="U55" s="779"/>
      <c r="V55" s="779"/>
      <c r="W55" s="779"/>
      <c r="X55" s="779"/>
      <c r="Y55" s="779"/>
      <c r="Z55" s="779"/>
      <c r="AA55" s="779"/>
      <c r="AB55" s="779"/>
      <c r="AC55" s="779"/>
      <c r="AD55" s="779"/>
      <c r="AE55" s="779"/>
      <c r="AF55" s="779"/>
      <c r="AG55" s="779"/>
      <c r="AH55" s="779"/>
      <c r="AI55" s="779"/>
      <c r="AJ55" s="779"/>
      <c r="AK55" s="779"/>
      <c r="AL55" s="779"/>
      <c r="AM55" s="779"/>
      <c r="AN55" s="779"/>
      <c r="AO55" s="779"/>
      <c r="AP55" s="779"/>
      <c r="AQ55" s="779"/>
      <c r="AR55" s="779"/>
      <c r="AS55" s="779"/>
      <c r="AT55" s="779"/>
      <c r="AU55" s="779"/>
      <c r="AV55" s="779"/>
    </row>
    <row r="56" spans="1:48" ht="26.25">
      <c r="A56" s="738"/>
      <c r="B56" s="780" t="s">
        <v>463</v>
      </c>
      <c r="C56" s="751">
        <v>4.4999999999999998E-2</v>
      </c>
      <c r="D56" s="896" t="s">
        <v>444</v>
      </c>
      <c r="E56" s="896"/>
      <c r="F56" s="754">
        <f>+F23+C56</f>
        <v>0.13150000000000001</v>
      </c>
      <c r="G56" s="739"/>
      <c r="I56" s="773">
        <f>TRUNC(F56,5)</f>
        <v>0.13150000000000001</v>
      </c>
      <c r="K56" s="779"/>
      <c r="L56" s="779"/>
      <c r="M56" s="779"/>
      <c r="N56" s="779"/>
      <c r="O56" s="779"/>
      <c r="P56" s="779"/>
      <c r="Q56" s="779"/>
      <c r="R56" s="779"/>
      <c r="S56" s="779"/>
      <c r="T56" s="779"/>
      <c r="U56" s="779"/>
      <c r="V56" s="779"/>
      <c r="W56" s="779"/>
      <c r="X56" s="779"/>
      <c r="Y56" s="779"/>
      <c r="Z56" s="779"/>
      <c r="AA56" s="779"/>
      <c r="AB56" s="779"/>
      <c r="AC56" s="779"/>
      <c r="AD56" s="779"/>
      <c r="AE56" s="779"/>
      <c r="AF56" s="779"/>
      <c r="AG56" s="779"/>
      <c r="AH56" s="779"/>
      <c r="AI56" s="779"/>
      <c r="AJ56" s="779"/>
      <c r="AK56" s="779"/>
      <c r="AL56" s="779"/>
      <c r="AM56" s="779"/>
      <c r="AN56" s="779"/>
      <c r="AO56" s="779"/>
      <c r="AP56" s="779"/>
      <c r="AQ56" s="779"/>
      <c r="AR56" s="779"/>
      <c r="AS56" s="779"/>
      <c r="AT56" s="779"/>
      <c r="AU56" s="779"/>
      <c r="AV56" s="779"/>
    </row>
    <row r="57" spans="1:48" ht="4.5" customHeight="1" thickBot="1">
      <c r="A57" s="756"/>
      <c r="B57" s="781"/>
      <c r="C57" s="782"/>
      <c r="D57" s="782"/>
      <c r="E57" s="782"/>
      <c r="F57" s="783"/>
      <c r="G57" s="757"/>
    </row>
    <row r="61" spans="1:48">
      <c r="I61" s="784"/>
      <c r="J61" s="784"/>
      <c r="K61" s="784"/>
    </row>
    <row r="62" spans="1:48">
      <c r="I62" s="785"/>
    </row>
    <row r="63" spans="1:48">
      <c r="I63" s="786"/>
    </row>
    <row r="64" spans="1:48">
      <c r="I64" s="786"/>
    </row>
    <row r="65" spans="9:9">
      <c r="I65" s="787"/>
    </row>
    <row r="66" spans="9:9">
      <c r="I66" s="786"/>
    </row>
    <row r="67" spans="9:9">
      <c r="I67" s="786"/>
    </row>
    <row r="68" spans="9:9">
      <c r="I68" s="786"/>
    </row>
    <row r="69" spans="9:9">
      <c r="I69" s="786"/>
    </row>
    <row r="70" spans="9:9">
      <c r="I70" s="786"/>
    </row>
    <row r="73" spans="9:9">
      <c r="I73" s="784"/>
    </row>
    <row r="74" spans="9:9">
      <c r="I74" s="755"/>
    </row>
    <row r="75" spans="9:9">
      <c r="I75" s="755"/>
    </row>
    <row r="76" spans="9:9">
      <c r="I76" s="755"/>
    </row>
    <row r="77" spans="9:9">
      <c r="I77" s="755"/>
    </row>
    <row r="78" spans="9:9">
      <c r="I78" s="755"/>
    </row>
    <row r="79" spans="9:9">
      <c r="I79" s="755"/>
    </row>
    <row r="80" spans="9:9">
      <c r="I80" s="755"/>
    </row>
    <row r="81" spans="9:15">
      <c r="I81" s="755"/>
    </row>
    <row r="82" spans="9:15">
      <c r="I82" s="755"/>
    </row>
    <row r="83" spans="9:15">
      <c r="I83" s="788"/>
    </row>
    <row r="84" spans="9:15">
      <c r="I84" s="788"/>
    </row>
    <row r="85" spans="9:15">
      <c r="I85" s="788"/>
    </row>
    <row r="89" spans="9:15">
      <c r="N89" s="755"/>
      <c r="O89" s="768"/>
    </row>
    <row r="90" spans="9:15">
      <c r="N90" s="755"/>
      <c r="O90" s="768"/>
    </row>
    <row r="91" spans="9:15">
      <c r="N91" s="755"/>
      <c r="O91" s="768"/>
    </row>
    <row r="92" spans="9:15">
      <c r="N92" s="755"/>
      <c r="O92" s="768"/>
    </row>
    <row r="93" spans="9:15">
      <c r="N93" s="755"/>
      <c r="O93" s="768"/>
    </row>
    <row r="94" spans="9:15">
      <c r="N94" s="755"/>
      <c r="O94" s="768"/>
    </row>
    <row r="95" spans="9:15">
      <c r="N95" s="755"/>
      <c r="O95" s="768"/>
    </row>
    <row r="96" spans="9:15">
      <c r="N96" s="755"/>
      <c r="O96" s="768"/>
    </row>
    <row r="97" spans="14:15">
      <c r="N97" s="755"/>
      <c r="O97" s="768"/>
    </row>
    <row r="98" spans="14:15">
      <c r="N98" s="755"/>
      <c r="O98" s="768"/>
    </row>
    <row r="99" spans="14:15">
      <c r="N99" s="755"/>
      <c r="O99" s="768"/>
    </row>
    <row r="100" spans="14:15">
      <c r="N100" s="755"/>
    </row>
    <row r="101" spans="14:15">
      <c r="N101" s="755"/>
    </row>
    <row r="102" spans="14:15">
      <c r="N102" s="755"/>
    </row>
    <row r="103" spans="14:15">
      <c r="N103" s="755"/>
    </row>
    <row r="254" spans="72:76" ht="13.5" thickBot="1"/>
    <row r="255" spans="72:76">
      <c r="BT255" s="917" t="s">
        <v>464</v>
      </c>
      <c r="BU255" s="918"/>
      <c r="BV255" s="918"/>
      <c r="BW255" s="918"/>
      <c r="BX255" s="919"/>
    </row>
    <row r="256" spans="72:76">
      <c r="BT256" s="789"/>
      <c r="BU256" s="733" t="s">
        <v>465</v>
      </c>
      <c r="BV256" s="733" t="s">
        <v>159</v>
      </c>
      <c r="BW256" s="733" t="s">
        <v>466</v>
      </c>
      <c r="BX256" s="790"/>
    </row>
    <row r="257" spans="72:87">
      <c r="BT257" s="791">
        <v>100</v>
      </c>
      <c r="BU257" s="792" t="s">
        <v>433</v>
      </c>
      <c r="BV257" s="740">
        <f t="shared" ref="BV257:BV262" si="1">+BT257</f>
        <v>100</v>
      </c>
      <c r="BW257" s="793" t="s">
        <v>467</v>
      </c>
      <c r="BX257" s="790"/>
    </row>
    <row r="258" spans="72:87" ht="25.5">
      <c r="BT258" s="791">
        <v>200</v>
      </c>
      <c r="BU258" s="792" t="s">
        <v>468</v>
      </c>
      <c r="BV258" s="740">
        <f t="shared" si="1"/>
        <v>200</v>
      </c>
      <c r="BW258" s="793" t="s">
        <v>469</v>
      </c>
      <c r="BX258" s="790"/>
    </row>
    <row r="259" spans="72:87" ht="57">
      <c r="BT259" s="791">
        <v>300</v>
      </c>
      <c r="BU259" s="794" t="s">
        <v>470</v>
      </c>
      <c r="BV259" s="740">
        <f t="shared" si="1"/>
        <v>300</v>
      </c>
      <c r="BW259" s="793" t="s">
        <v>471</v>
      </c>
      <c r="BX259" s="790"/>
    </row>
    <row r="260" spans="72:87" ht="57">
      <c r="BT260" s="791">
        <v>400</v>
      </c>
      <c r="BU260" s="794" t="s">
        <v>472</v>
      </c>
      <c r="BV260" s="740">
        <f t="shared" si="1"/>
        <v>400</v>
      </c>
      <c r="BW260" s="793" t="s">
        <v>473</v>
      </c>
      <c r="BX260" s="790"/>
    </row>
    <row r="261" spans="72:87">
      <c r="BT261" s="791">
        <v>500</v>
      </c>
      <c r="BU261" s="792" t="s">
        <v>474</v>
      </c>
      <c r="BV261" s="740">
        <f t="shared" si="1"/>
        <v>500</v>
      </c>
      <c r="BW261" s="793" t="s">
        <v>475</v>
      </c>
      <c r="BX261" s="790"/>
    </row>
    <row r="262" spans="72:87" ht="25.5">
      <c r="BT262" s="791">
        <v>600</v>
      </c>
      <c r="BU262" s="792" t="s">
        <v>476</v>
      </c>
      <c r="BV262" s="740">
        <f t="shared" si="1"/>
        <v>600</v>
      </c>
      <c r="BW262" s="793" t="s">
        <v>477</v>
      </c>
      <c r="BX262" s="790"/>
    </row>
    <row r="263" spans="72:87">
      <c r="BT263" s="791"/>
      <c r="BU263" s="740"/>
      <c r="BV263" s="740"/>
      <c r="BW263" s="793"/>
      <c r="BX263" s="790"/>
    </row>
    <row r="264" spans="72:87">
      <c r="BT264" s="795"/>
      <c r="BU264" s="793"/>
      <c r="BV264" s="793"/>
      <c r="BW264" s="793"/>
      <c r="BX264" s="790"/>
    </row>
    <row r="265" spans="72:87">
      <c r="BT265" s="795"/>
      <c r="BU265" s="793"/>
      <c r="BV265" s="793"/>
      <c r="BW265" s="793"/>
      <c r="BX265" s="790"/>
      <c r="CF265" s="733" t="s">
        <v>478</v>
      </c>
      <c r="CG265" s="733" t="s">
        <v>479</v>
      </c>
      <c r="CH265" s="733" t="s">
        <v>480</v>
      </c>
    </row>
    <row r="266" spans="72:87">
      <c r="BT266" s="789"/>
      <c r="BX266" s="790"/>
      <c r="CE266" s="733" t="s">
        <v>481</v>
      </c>
      <c r="CF266" s="768">
        <v>6.4999999999999997E-3</v>
      </c>
      <c r="CG266" s="796">
        <v>0.03</v>
      </c>
      <c r="CH266" s="733" t="s">
        <v>482</v>
      </c>
      <c r="CI266" s="768" t="e">
        <f>(#REF!+#REF!)+C21</f>
        <v>#REF!</v>
      </c>
    </row>
    <row r="267" spans="72:87">
      <c r="BT267" s="789"/>
      <c r="BX267" s="790"/>
      <c r="CF267" s="768">
        <v>1.6500000000000001E-2</v>
      </c>
      <c r="CG267" s="768">
        <v>7.5999999999999998E-2</v>
      </c>
      <c r="CH267" s="733" t="s">
        <v>483</v>
      </c>
      <c r="CI267" s="768" t="e">
        <f>(#REF!+#REF!)*#REF!+C21</f>
        <v>#REF!</v>
      </c>
    </row>
    <row r="268" spans="72:87">
      <c r="BT268" s="789"/>
      <c r="BX268" s="790"/>
    </row>
    <row r="269" spans="72:87">
      <c r="BT269" s="797"/>
      <c r="BU269" s="775"/>
      <c r="BV269" s="775"/>
      <c r="BX269" s="790"/>
    </row>
    <row r="270" spans="72:87">
      <c r="BT270" s="789"/>
      <c r="BX270" s="790"/>
    </row>
    <row r="271" spans="72:87" ht="13.5" thickBot="1">
      <c r="BT271" s="789"/>
      <c r="BX271" s="790"/>
      <c r="CD271" s="733">
        <f>BT257</f>
        <v>100</v>
      </c>
      <c r="CE271" s="916" t="str">
        <f>BU257</f>
        <v>Construção de edificios</v>
      </c>
      <c r="CF271" s="916"/>
      <c r="CG271" s="916"/>
      <c r="CH271" s="916"/>
    </row>
    <row r="272" spans="72:87" ht="15" thickBot="1">
      <c r="BT272" s="789"/>
      <c r="BX272" s="790"/>
      <c r="CD272" s="733">
        <f>+CD271+1</f>
        <v>101</v>
      </c>
      <c r="CE272" s="798" t="s">
        <v>453</v>
      </c>
      <c r="CF272" s="799">
        <v>0.03</v>
      </c>
      <c r="CG272" s="799">
        <v>0.04</v>
      </c>
      <c r="CH272" s="799">
        <v>5.5E-2</v>
      </c>
    </row>
    <row r="273" spans="72:86" ht="15" thickBot="1">
      <c r="BT273" s="789"/>
      <c r="BX273" s="790"/>
      <c r="CD273" s="733">
        <f>+CD272+1</f>
        <v>102</v>
      </c>
      <c r="CE273" s="798" t="s">
        <v>454</v>
      </c>
      <c r="CF273" s="799">
        <v>8.0000000000000002E-3</v>
      </c>
      <c r="CG273" s="799">
        <v>8.0000000000000002E-3</v>
      </c>
      <c r="CH273" s="799">
        <v>0.01</v>
      </c>
    </row>
    <row r="274" spans="72:86" ht="15" thickBot="1">
      <c r="BT274" s="789"/>
      <c r="BX274" s="790"/>
      <c r="CD274" s="733">
        <f>+CD273+1</f>
        <v>103</v>
      </c>
      <c r="CE274" s="798" t="s">
        <v>455</v>
      </c>
      <c r="CF274" s="799">
        <v>9.7000000000000003E-3</v>
      </c>
      <c r="CG274" s="799">
        <v>1.2699999999999999E-2</v>
      </c>
      <c r="CH274" s="799">
        <v>1.2699999999999999E-2</v>
      </c>
    </row>
    <row r="275" spans="72:86" ht="15" thickBot="1">
      <c r="BT275" s="797"/>
      <c r="BU275" s="775"/>
      <c r="BV275" s="775"/>
      <c r="BX275" s="790"/>
      <c r="CD275" s="733">
        <f>+CD274+1</f>
        <v>104</v>
      </c>
      <c r="CE275" s="798" t="s">
        <v>456</v>
      </c>
      <c r="CF275" s="799">
        <v>5.8999999999999999E-3</v>
      </c>
      <c r="CG275" s="799">
        <v>1.23E-2</v>
      </c>
      <c r="CH275" s="799">
        <v>1.3899999999999999E-2</v>
      </c>
    </row>
    <row r="276" spans="72:86" ht="15" thickBot="1">
      <c r="BT276" s="789"/>
      <c r="BX276" s="790"/>
      <c r="CD276" s="733">
        <f>+CD275+1</f>
        <v>105</v>
      </c>
      <c r="CE276" s="798" t="s">
        <v>457</v>
      </c>
      <c r="CF276" s="799">
        <v>6.1600000000000002E-2</v>
      </c>
      <c r="CG276" s="799">
        <v>7.3999999999999996E-2</v>
      </c>
      <c r="CH276" s="799">
        <v>8.9599999999999999E-2</v>
      </c>
    </row>
    <row r="277" spans="72:86">
      <c r="BT277" s="789"/>
      <c r="BX277" s="790"/>
    </row>
    <row r="278" spans="72:86">
      <c r="BT278" s="789"/>
      <c r="BX278" s="790"/>
    </row>
    <row r="279" spans="72:86" ht="13.5" thickBot="1">
      <c r="BT279" s="789"/>
      <c r="BX279" s="790"/>
      <c r="CD279" s="733">
        <f>BT258</f>
        <v>200</v>
      </c>
      <c r="CE279" s="916" t="str">
        <f>BU258</f>
        <v>Construção de rodovias e ferrovias</v>
      </c>
      <c r="CF279" s="916"/>
      <c r="CG279" s="916"/>
      <c r="CH279" s="916"/>
    </row>
    <row r="280" spans="72:86" ht="15" thickBot="1">
      <c r="BT280" s="789"/>
      <c r="BX280" s="790"/>
      <c r="CD280" s="733">
        <f>+CD279+1</f>
        <v>201</v>
      </c>
      <c r="CE280" s="798" t="s">
        <v>453</v>
      </c>
      <c r="CF280" s="799">
        <v>3.7999999999999999E-2</v>
      </c>
      <c r="CG280" s="799">
        <v>4.0099999999999997E-2</v>
      </c>
      <c r="CH280" s="799">
        <v>4.6699999999999998E-2</v>
      </c>
    </row>
    <row r="281" spans="72:86" ht="15" thickBot="1">
      <c r="BT281" s="789"/>
      <c r="BX281" s="790"/>
      <c r="CD281" s="733">
        <f>+CD280+1</f>
        <v>202</v>
      </c>
      <c r="CE281" s="798" t="s">
        <v>454</v>
      </c>
      <c r="CF281" s="799">
        <v>3.2000000000000002E-3</v>
      </c>
      <c r="CG281" s="799">
        <v>4.0000000000000001E-3</v>
      </c>
      <c r="CH281" s="799">
        <v>7.4000000000000003E-3</v>
      </c>
    </row>
    <row r="282" spans="72:86" ht="15" thickBot="1">
      <c r="BT282" s="917"/>
      <c r="BU282" s="918"/>
      <c r="BV282" s="918"/>
      <c r="BW282" s="918"/>
      <c r="BX282" s="919"/>
      <c r="CD282" s="733">
        <f>+CD281+1</f>
        <v>203</v>
      </c>
      <c r="CE282" s="798" t="s">
        <v>455</v>
      </c>
      <c r="CF282" s="799">
        <v>5.0000000000000001E-3</v>
      </c>
      <c r="CG282" s="799">
        <v>5.5999999999999999E-3</v>
      </c>
      <c r="CH282" s="799">
        <v>9.7000000000000003E-3</v>
      </c>
    </row>
    <row r="283" spans="72:86" ht="15" thickBot="1">
      <c r="BT283" s="789"/>
      <c r="BX283" s="790"/>
      <c r="CD283" s="733">
        <f>+CD282+1</f>
        <v>204</v>
      </c>
      <c r="CE283" s="798" t="s">
        <v>456</v>
      </c>
      <c r="CF283" s="799">
        <v>1.0200000000000001E-2</v>
      </c>
      <c r="CG283" s="799">
        <v>1.11E-2</v>
      </c>
      <c r="CH283" s="799">
        <v>1.21E-2</v>
      </c>
    </row>
    <row r="284" spans="72:86" ht="15" thickBot="1">
      <c r="BT284" s="789"/>
      <c r="BX284" s="790"/>
      <c r="CD284" s="733">
        <f>+CD283+1</f>
        <v>205</v>
      </c>
      <c r="CE284" s="798" t="s">
        <v>457</v>
      </c>
      <c r="CF284" s="799">
        <v>6.6400000000000001E-2</v>
      </c>
      <c r="CG284" s="799">
        <v>7.2999999999999995E-2</v>
      </c>
      <c r="CH284" s="799">
        <v>8.6900000000000005E-2</v>
      </c>
    </row>
    <row r="285" spans="72:86">
      <c r="BT285" s="789"/>
      <c r="BX285" s="790"/>
    </row>
    <row r="286" spans="72:86" ht="13.5" thickBot="1">
      <c r="BT286" s="800"/>
      <c r="BU286" s="801"/>
      <c r="BV286" s="801"/>
      <c r="BW286" s="801"/>
      <c r="BX286" s="802"/>
    </row>
    <row r="287" spans="72:86" ht="13.5" thickBot="1">
      <c r="BT287" s="917"/>
      <c r="BU287" s="918"/>
      <c r="BV287" s="918"/>
      <c r="BW287" s="918"/>
      <c r="BX287" s="919"/>
      <c r="CD287" s="733">
        <f>BT259</f>
        <v>300</v>
      </c>
      <c r="CE287" s="916" t="str">
        <f>BU259</f>
        <v>Construção de Redes de Abastecimento de Água, Coleta de Esgoto e Construções Correlatas</v>
      </c>
      <c r="CF287" s="916"/>
      <c r="CG287" s="916"/>
      <c r="CH287" s="916"/>
    </row>
    <row r="288" spans="72:86" ht="15" thickBot="1">
      <c r="BT288" s="920"/>
      <c r="BU288" s="921"/>
      <c r="BV288" s="921"/>
      <c r="BW288" s="921"/>
      <c r="BX288" s="922"/>
      <c r="CD288" s="733">
        <f>+CD287+1</f>
        <v>301</v>
      </c>
      <c r="CE288" s="803" t="s">
        <v>453</v>
      </c>
      <c r="CF288" s="804">
        <v>3.4299999999999997E-2</v>
      </c>
      <c r="CG288" s="804">
        <v>4.9299999999999997E-2</v>
      </c>
      <c r="CH288" s="804">
        <v>6.7100000000000007E-2</v>
      </c>
    </row>
    <row r="289" spans="72:86" ht="15" thickBot="1">
      <c r="BT289" s="920"/>
      <c r="BU289" s="921"/>
      <c r="BV289" s="921"/>
      <c r="BW289" s="921"/>
      <c r="BX289" s="922"/>
      <c r="CD289" s="733">
        <f>+CD288+1</f>
        <v>302</v>
      </c>
      <c r="CE289" s="798" t="s">
        <v>454</v>
      </c>
      <c r="CF289" s="799">
        <v>2.8E-3</v>
      </c>
      <c r="CG289" s="799">
        <v>4.8999999999999998E-3</v>
      </c>
      <c r="CH289" s="799">
        <v>7.4999999999999997E-3</v>
      </c>
    </row>
    <row r="290" spans="72:86" ht="27" customHeight="1" thickBot="1">
      <c r="BT290" s="805"/>
      <c r="BU290" s="806"/>
      <c r="BV290" s="807"/>
      <c r="BW290" s="807"/>
      <c r="BX290" s="808"/>
      <c r="CD290" s="733">
        <f>+CD289+1</f>
        <v>303</v>
      </c>
      <c r="CE290" s="798" t="s">
        <v>455</v>
      </c>
      <c r="CF290" s="799">
        <v>0.01</v>
      </c>
      <c r="CG290" s="799">
        <v>1.3899999999999999E-2</v>
      </c>
      <c r="CH290" s="799">
        <v>1.7399999999999999E-2</v>
      </c>
    </row>
    <row r="291" spans="72:86" ht="15" thickBot="1">
      <c r="BT291" s="789"/>
      <c r="BX291" s="790"/>
      <c r="CD291" s="733">
        <f>+CD290+1</f>
        <v>304</v>
      </c>
      <c r="CE291" s="798" t="s">
        <v>456</v>
      </c>
      <c r="CF291" s="799">
        <v>9.4000000000000004E-3</v>
      </c>
      <c r="CG291" s="799">
        <v>9.9000000000000008E-3</v>
      </c>
      <c r="CH291" s="799">
        <v>1.17E-2</v>
      </c>
    </row>
    <row r="292" spans="72:86" ht="15" thickBot="1">
      <c r="BT292" s="800"/>
      <c r="BU292" s="801"/>
      <c r="BV292" s="801"/>
      <c r="BW292" s="801"/>
      <c r="BX292" s="802"/>
      <c r="CD292" s="733">
        <f>+CD291+1</f>
        <v>305</v>
      </c>
      <c r="CE292" s="798" t="s">
        <v>457</v>
      </c>
      <c r="CF292" s="799">
        <v>6.7400000000000002E-2</v>
      </c>
      <c r="CG292" s="799">
        <v>8.0399999999999999E-2</v>
      </c>
      <c r="CH292" s="799">
        <v>9.4E-2</v>
      </c>
    </row>
    <row r="293" spans="72:86">
      <c r="BT293" s="917"/>
      <c r="BU293" s="918"/>
      <c r="BV293" s="918"/>
      <c r="BW293" s="918"/>
      <c r="BX293" s="919"/>
    </row>
    <row r="294" spans="72:86" ht="13.5" thickBot="1">
      <c r="BT294" s="809"/>
      <c r="BU294" s="810" t="s">
        <v>484</v>
      </c>
      <c r="BV294" s="810" t="s">
        <v>485</v>
      </c>
      <c r="BW294" s="810" t="s">
        <v>486</v>
      </c>
      <c r="BX294" s="810" t="s">
        <v>487</v>
      </c>
      <c r="CD294" s="733">
        <f>BT260</f>
        <v>400</v>
      </c>
      <c r="CE294" s="916" t="str">
        <f>BU260</f>
        <v>Construção e Manutenção de Estações e Redes de Distribuição de Energia Elétrica</v>
      </c>
      <c r="CF294" s="916"/>
      <c r="CG294" s="916"/>
      <c r="CH294" s="916"/>
    </row>
    <row r="295" spans="72:86" ht="15" thickBot="1">
      <c r="BT295" s="809" t="s">
        <v>195</v>
      </c>
      <c r="BU295" s="810">
        <f>VLOOKUP(C6,BU257:BV262,2,0)</f>
        <v>100</v>
      </c>
      <c r="BV295" s="811">
        <f>VLOOKUP($BU295,$BT$306:$BX$311,3,0)</f>
        <v>0.2034</v>
      </c>
      <c r="BW295" s="811">
        <f>VLOOKUP($BU295,$BT$306:$BX$311,4,0)</f>
        <v>0.22120000000000001</v>
      </c>
      <c r="BX295" s="811">
        <f>VLOOKUP($BU295,$BT$306:$BX$311,5,0)</f>
        <v>0.25</v>
      </c>
      <c r="CD295" s="733">
        <f>+CD294+1</f>
        <v>401</v>
      </c>
      <c r="CE295" s="803" t="s">
        <v>453</v>
      </c>
      <c r="CF295" s="804">
        <v>5.2900000000000003E-2</v>
      </c>
      <c r="CG295" s="804">
        <v>5.9200000000000003E-2</v>
      </c>
      <c r="CH295" s="804">
        <v>7.9299999999999995E-2</v>
      </c>
    </row>
    <row r="296" spans="72:86" ht="15" thickBot="1">
      <c r="BT296" s="812" t="s">
        <v>453</v>
      </c>
      <c r="BU296" s="810">
        <f>+BU295+1</f>
        <v>101</v>
      </c>
      <c r="BV296" s="811">
        <f>VLOOKUP($BU296,$CD$271:$CH$312,3,0)</f>
        <v>0.03</v>
      </c>
      <c r="BW296" s="811">
        <f>VLOOKUP($BU296,$CD$271:$CH$312,4,0)</f>
        <v>0.04</v>
      </c>
      <c r="BX296" s="811">
        <f>VLOOKUP($BU296,$CD$271:$CH$312,5,0)</f>
        <v>5.5E-2</v>
      </c>
      <c r="CD296" s="733">
        <f>+CD295+1</f>
        <v>402</v>
      </c>
      <c r="CE296" s="798" t="s">
        <v>454</v>
      </c>
      <c r="CF296" s="799">
        <v>2.5000000000000001E-3</v>
      </c>
      <c r="CG296" s="799">
        <v>5.1000000000000004E-3</v>
      </c>
      <c r="CH296" s="799">
        <v>5.5999999999999999E-3</v>
      </c>
    </row>
    <row r="297" spans="72:86" ht="15" thickBot="1">
      <c r="BT297" s="812" t="s">
        <v>454</v>
      </c>
      <c r="BU297" s="810">
        <f>+BU296+1</f>
        <v>102</v>
      </c>
      <c r="BV297" s="811">
        <f>VLOOKUP($BU297,$CD$271:$CH$312,3,0)</f>
        <v>8.0000000000000002E-3</v>
      </c>
      <c r="BW297" s="811">
        <f>VLOOKUP($BU297,$CD$271:$CH$312,4,0)</f>
        <v>8.0000000000000002E-3</v>
      </c>
      <c r="BX297" s="811">
        <f>VLOOKUP($BU297,$CD$271:$CH$312,5,0)</f>
        <v>0.01</v>
      </c>
      <c r="CD297" s="733">
        <f>+CD296+1</f>
        <v>403</v>
      </c>
      <c r="CE297" s="798" t="s">
        <v>455</v>
      </c>
      <c r="CF297" s="799">
        <v>0.01</v>
      </c>
      <c r="CG297" s="799">
        <v>1.4800000000000001E-2</v>
      </c>
      <c r="CH297" s="799">
        <v>1.9699999999999999E-2</v>
      </c>
    </row>
    <row r="298" spans="72:86" ht="15" thickBot="1">
      <c r="BT298" s="812" t="s">
        <v>455</v>
      </c>
      <c r="BU298" s="810">
        <f>+BU297+1</f>
        <v>103</v>
      </c>
      <c r="BV298" s="811">
        <f>VLOOKUP($BU298,$CD$271:$CH$312,3,0)</f>
        <v>9.7000000000000003E-3</v>
      </c>
      <c r="BW298" s="811">
        <f>VLOOKUP($BU298,$CD$271:$CH$312,4,0)</f>
        <v>1.2699999999999999E-2</v>
      </c>
      <c r="BX298" s="811">
        <f>VLOOKUP($BU298,$CD$271:$CH$312,5,0)</f>
        <v>1.2699999999999999E-2</v>
      </c>
      <c r="CD298" s="733">
        <f>+CD297+1</f>
        <v>404</v>
      </c>
      <c r="CE298" s="798" t="s">
        <v>456</v>
      </c>
      <c r="CF298" s="799">
        <v>1.01E-2</v>
      </c>
      <c r="CG298" s="799">
        <v>1.0699999999999999E-2</v>
      </c>
      <c r="CH298" s="799">
        <v>1.11E-2</v>
      </c>
    </row>
    <row r="299" spans="72:86" ht="15" thickBot="1">
      <c r="BT299" s="812" t="s">
        <v>456</v>
      </c>
      <c r="BU299" s="810">
        <f>+BU298+1</f>
        <v>104</v>
      </c>
      <c r="BV299" s="811">
        <f>VLOOKUP($BU299,$CD$271:$CH$312,3,0)</f>
        <v>5.8999999999999999E-3</v>
      </c>
      <c r="BW299" s="811">
        <f>VLOOKUP($BU299,$CD$271:$CH$312,4,0)</f>
        <v>1.23E-2</v>
      </c>
      <c r="BX299" s="811">
        <f>VLOOKUP($BU299,$CD$271:$CH$312,5,0)</f>
        <v>1.3899999999999999E-2</v>
      </c>
      <c r="CD299" s="733">
        <f>+CD298+1</f>
        <v>405</v>
      </c>
      <c r="CE299" s="798" t="s">
        <v>457</v>
      </c>
      <c r="CF299" s="799">
        <v>0.08</v>
      </c>
      <c r="CG299" s="799">
        <v>8.3099999999999993E-2</v>
      </c>
      <c r="CH299" s="799">
        <v>9.5100000000000004E-2</v>
      </c>
    </row>
    <row r="300" spans="72:86" ht="15" thickBot="1">
      <c r="BT300" s="812" t="s">
        <v>457</v>
      </c>
      <c r="BU300" s="810">
        <f>+BU299+1</f>
        <v>105</v>
      </c>
      <c r="BV300" s="811">
        <f>VLOOKUP($BU300,$CD$271:$CH$312,3,0)</f>
        <v>6.1600000000000002E-2</v>
      </c>
      <c r="BW300" s="811">
        <f>VLOOKUP($BU300,$CD$271:$CH$312,4,0)</f>
        <v>7.3999999999999996E-2</v>
      </c>
      <c r="BX300" s="811">
        <f>VLOOKUP($BU300,$CD$271:$CH$312,5,0)</f>
        <v>8.9599999999999999E-2</v>
      </c>
      <c r="CD300" s="733">
        <f>BT261</f>
        <v>500</v>
      </c>
      <c r="CE300" s="916" t="str">
        <f>BU261</f>
        <v>Portuárias, Marítimas e Fluviais</v>
      </c>
      <c r="CF300" s="916"/>
      <c r="CG300" s="916"/>
      <c r="CH300" s="916"/>
    </row>
    <row r="301" spans="72:86" ht="15" thickBot="1">
      <c r="BT301" s="789"/>
      <c r="BX301" s="790"/>
      <c r="CD301" s="733">
        <f>+CD300+1</f>
        <v>501</v>
      </c>
      <c r="CE301" s="803" t="s">
        <v>453</v>
      </c>
      <c r="CF301" s="804">
        <v>0.04</v>
      </c>
      <c r="CG301" s="804">
        <v>5.5199999999999999E-2</v>
      </c>
      <c r="CH301" s="804">
        <v>7.85E-2</v>
      </c>
    </row>
    <row r="302" spans="72:86" ht="15" thickBot="1">
      <c r="CD302" s="733">
        <f>+CD301+1</f>
        <v>502</v>
      </c>
      <c r="CE302" s="798" t="s">
        <v>454</v>
      </c>
      <c r="CF302" s="799">
        <v>8.0999999999999996E-3</v>
      </c>
      <c r="CG302" s="799">
        <v>1.2200000000000001E-2</v>
      </c>
      <c r="CH302" s="799">
        <v>1.9900000000000001E-2</v>
      </c>
    </row>
    <row r="303" spans="72:86" ht="15" thickBot="1">
      <c r="CD303" s="733">
        <f>+CD302+1</f>
        <v>503</v>
      </c>
      <c r="CE303" s="798" t="s">
        <v>455</v>
      </c>
      <c r="CF303" s="799">
        <v>1.46E-2</v>
      </c>
      <c r="CG303" s="799">
        <v>2.3199999999999998E-2</v>
      </c>
      <c r="CH303" s="799">
        <v>3.1600000000000003E-2</v>
      </c>
    </row>
    <row r="304" spans="72:86" ht="15" thickBot="1">
      <c r="CD304" s="733">
        <f>+CD303+1</f>
        <v>504</v>
      </c>
      <c r="CE304" s="798" t="s">
        <v>456</v>
      </c>
      <c r="CF304" s="799">
        <v>9.4000000000000004E-3</v>
      </c>
      <c r="CG304" s="799">
        <v>1.0200000000000001E-2</v>
      </c>
      <c r="CH304" s="799">
        <v>1.3299999999999999E-2</v>
      </c>
    </row>
    <row r="305" spans="72:86" ht="15" thickBot="1">
      <c r="BV305" s="813" t="s">
        <v>488</v>
      </c>
      <c r="BW305" s="814" t="s">
        <v>486</v>
      </c>
      <c r="BX305" s="814" t="s">
        <v>489</v>
      </c>
      <c r="CD305" s="733">
        <f>+CD304+1</f>
        <v>505</v>
      </c>
      <c r="CE305" s="798" t="s">
        <v>457</v>
      </c>
      <c r="CF305" s="799">
        <v>7.1400000000000005E-2</v>
      </c>
      <c r="CG305" s="799">
        <v>8.4000000000000005E-2</v>
      </c>
      <c r="CH305" s="799">
        <v>0.1043</v>
      </c>
    </row>
    <row r="306" spans="72:86" ht="15" thickBot="1">
      <c r="BT306" s="733">
        <f>BT257</f>
        <v>100</v>
      </c>
      <c r="BU306" s="803" t="str">
        <f t="shared" ref="BU306:BU311" si="2">VLOOKUP(BT306,BT257:BU262,2,0)</f>
        <v>Construção de edificios</v>
      </c>
      <c r="BV306" s="804">
        <v>0.2034</v>
      </c>
      <c r="BW306" s="804">
        <v>0.22120000000000001</v>
      </c>
      <c r="BX306" s="804">
        <v>0.25</v>
      </c>
    </row>
    <row r="307" spans="72:86" ht="29.25" thickBot="1">
      <c r="BT307" s="733">
        <v>200</v>
      </c>
      <c r="BU307" s="803" t="str">
        <f t="shared" si="2"/>
        <v>Construção de rodovias e ferrovias</v>
      </c>
      <c r="BV307" s="799">
        <v>0.19600000000000001</v>
      </c>
      <c r="BW307" s="799">
        <v>0.2097</v>
      </c>
      <c r="BX307" s="799">
        <v>0.24229999999999999</v>
      </c>
      <c r="CD307" s="733">
        <f>BT262</f>
        <v>600</v>
      </c>
      <c r="CE307" s="916" t="str">
        <f>BU262</f>
        <v>Fornecimento de Materiais e Equipamentos</v>
      </c>
      <c r="CF307" s="916"/>
      <c r="CG307" s="916"/>
      <c r="CH307" s="916"/>
    </row>
    <row r="308" spans="72:86" ht="57.75" thickBot="1">
      <c r="BT308" s="733">
        <f>BT259</f>
        <v>300</v>
      </c>
      <c r="BU308" s="803" t="str">
        <f t="shared" si="2"/>
        <v>Construção de Redes de Abastecimento de Água, Coleta de Esgoto e Construções Correlatas</v>
      </c>
      <c r="BV308" s="799">
        <v>0.20760000000000001</v>
      </c>
      <c r="BW308" s="799">
        <v>0.24179999999999999</v>
      </c>
      <c r="BX308" s="799">
        <v>0.26440000000000002</v>
      </c>
      <c r="CD308" s="733">
        <f>+CD307+1</f>
        <v>601</v>
      </c>
      <c r="CE308" s="803" t="s">
        <v>453</v>
      </c>
      <c r="CF308" s="804">
        <v>1.4999999999999999E-2</v>
      </c>
      <c r="CG308" s="804">
        <v>3.4500000000000003E-2</v>
      </c>
      <c r="CH308" s="804">
        <v>4.4900000000000002E-2</v>
      </c>
    </row>
    <row r="309" spans="72:86" ht="57.75" thickBot="1">
      <c r="BT309" s="733">
        <v>400</v>
      </c>
      <c r="BU309" s="803" t="str">
        <f t="shared" si="2"/>
        <v>Construção e Manutenção de Estações e Redes de Distribuição de Energia Elétrica</v>
      </c>
      <c r="BV309" s="799">
        <v>0.24</v>
      </c>
      <c r="BW309" s="799">
        <v>0.25840000000000002</v>
      </c>
      <c r="BX309" s="799">
        <v>0.27860000000000001</v>
      </c>
      <c r="CD309" s="733">
        <f>+CD308+1</f>
        <v>602</v>
      </c>
      <c r="CE309" s="798" t="s">
        <v>454</v>
      </c>
      <c r="CF309" s="799">
        <v>3.0000000000000001E-3</v>
      </c>
      <c r="CG309" s="799">
        <v>4.7999999999999996E-3</v>
      </c>
      <c r="CH309" s="799">
        <v>8.2000000000000007E-3</v>
      </c>
    </row>
    <row r="310" spans="72:86" ht="29.25" thickBot="1">
      <c r="BT310" s="733">
        <v>500</v>
      </c>
      <c r="BU310" s="803" t="str">
        <f t="shared" si="2"/>
        <v>Portuárias, Marítimas e Fluviais</v>
      </c>
      <c r="BV310" s="799">
        <v>0.22800000000000001</v>
      </c>
      <c r="BW310" s="799">
        <v>0.27479999999999999</v>
      </c>
      <c r="BX310" s="799">
        <v>0.3095</v>
      </c>
      <c r="CD310" s="733">
        <f>+CD309+1</f>
        <v>603</v>
      </c>
      <c r="CE310" s="798" t="s">
        <v>455</v>
      </c>
      <c r="CF310" s="799">
        <v>5.5999999999999999E-3</v>
      </c>
      <c r="CG310" s="799">
        <v>8.5000000000000006E-3</v>
      </c>
      <c r="CH310" s="799">
        <v>8.8999999999999999E-3</v>
      </c>
    </row>
    <row r="311" spans="72:86" ht="29.25" thickBot="1">
      <c r="BT311" s="733">
        <v>600</v>
      </c>
      <c r="BU311" s="803" t="str">
        <f t="shared" si="2"/>
        <v>Fornecimento de Materiais e Equipamentos</v>
      </c>
      <c r="BV311" s="799">
        <v>0.111</v>
      </c>
      <c r="BW311" s="799">
        <v>0.14019999999999999</v>
      </c>
      <c r="BX311" s="799">
        <v>0.16800000000000001</v>
      </c>
      <c r="CD311" s="733">
        <f>+CD310+1</f>
        <v>604</v>
      </c>
      <c r="CE311" s="798" t="s">
        <v>456</v>
      </c>
      <c r="CF311" s="799">
        <v>8.5000000000000006E-3</v>
      </c>
      <c r="CG311" s="799">
        <v>8.5000000000000006E-3</v>
      </c>
      <c r="CH311" s="799">
        <v>1.11E-2</v>
      </c>
    </row>
    <row r="312" spans="72:86" ht="15" thickBot="1">
      <c r="CD312" s="733">
        <f>+CD311+1</f>
        <v>605</v>
      </c>
      <c r="CE312" s="798" t="s">
        <v>457</v>
      </c>
      <c r="CF312" s="799">
        <v>3.5000000000000003E-2</v>
      </c>
      <c r="CG312" s="799">
        <v>5.11E-2</v>
      </c>
      <c r="CH312" s="799">
        <v>6.2199999999999998E-2</v>
      </c>
    </row>
  </sheetData>
  <sheetProtection password="C5AB" sheet="1" objects="1" scenarios="1" formatCells="0" formatColumns="0" formatRows="0" selectLockedCells="1"/>
  <mergeCells count="31">
    <mergeCell ref="CE307:CH307"/>
    <mergeCell ref="D56:E56"/>
    <mergeCell ref="BT255:BX255"/>
    <mergeCell ref="CE271:CH271"/>
    <mergeCell ref="CE279:CH279"/>
    <mergeCell ref="BT282:BX282"/>
    <mergeCell ref="BT287:BX287"/>
    <mergeCell ref="CE287:CH287"/>
    <mergeCell ref="BT288:BX288"/>
    <mergeCell ref="BT289:BX289"/>
    <mergeCell ref="BT293:BX293"/>
    <mergeCell ref="CE294:CH294"/>
    <mergeCell ref="CE300:CH300"/>
    <mergeCell ref="B30:F30"/>
    <mergeCell ref="E45:F45"/>
    <mergeCell ref="B47:F47"/>
    <mergeCell ref="B52:F52"/>
    <mergeCell ref="B54:D54"/>
    <mergeCell ref="E54:F54"/>
    <mergeCell ref="K16:AV17"/>
    <mergeCell ref="B29:F29"/>
    <mergeCell ref="B1:F1"/>
    <mergeCell ref="B4:F4"/>
    <mergeCell ref="C6:F6"/>
    <mergeCell ref="B12:F12"/>
    <mergeCell ref="D16:F16"/>
    <mergeCell ref="D18:F18"/>
    <mergeCell ref="D19:F19"/>
    <mergeCell ref="D23:E23"/>
    <mergeCell ref="B25:F25"/>
    <mergeCell ref="B26:F26"/>
  </mergeCells>
  <conditionalFormatting sqref="F32:F36">
    <cfRule type="cellIs" dxfId="5" priority="1" stopIfTrue="1" operator="between">
      <formula>$C32</formula>
      <formula>$E32</formula>
    </cfRule>
  </conditionalFormatting>
  <conditionalFormatting sqref="B52:D56 E52:F53 E55:F56">
    <cfRule type="expression" dxfId="4" priority="2" stopIfTrue="1">
      <formula>OR($F$8="NÃO",$F$8="")</formula>
    </cfRule>
  </conditionalFormatting>
  <conditionalFormatting sqref="E45:F45">
    <cfRule type="expression" dxfId="3" priority="3" stopIfTrue="1">
      <formula>$F$8="SIM"</formula>
    </cfRule>
  </conditionalFormatting>
  <conditionalFormatting sqref="E54:F54">
    <cfRule type="expression" dxfId="2" priority="4" stopIfTrue="1">
      <formula>OR($F$8="NÃO",$F$8="")</formula>
    </cfRule>
  </conditionalFormatting>
  <dataValidations count="5">
    <dataValidation type="list" allowBlank="1" showInputMessage="1" showErrorMessage="1" sqref="E17:F17">
      <formula1>$CE$266:$CE$267</formula1>
    </dataValidation>
    <dataValidation type="list" allowBlank="1" showInputMessage="1" showErrorMessage="1" sqref="C6:F6">
      <formula1>$BU$257:$BU$262</formula1>
    </dataValidation>
    <dataValidation type="list" allowBlank="1" showInputMessage="1" showErrorMessage="1" sqref="F8">
      <formula1>"SIM, NÃO"</formula1>
    </dataValidation>
    <dataValidation type="decimal" allowBlank="1" showInputMessage="1" showErrorMessage="1" errorTitle="FORA DO INTERVALO" error="Deve-se adotar valor entre o 1º e 3º quartil" sqref="F32:F36">
      <formula1>C32</formula1>
      <formula2>E32</formula2>
    </dataValidation>
    <dataValidation type="decimal" allowBlank="1" showInputMessage="1" showErrorMessage="1" sqref="F38:F39">
      <formula1>C38</formula1>
      <formula2>E38</formula2>
    </dataValidation>
  </dataValidations>
  <printOptions horizontalCentered="1"/>
  <pageMargins left="0.78740157480314965" right="0.78740157480314965" top="0.39370078740157483" bottom="0.39370078740157483" header="0.51181102362204722" footer="0.51181102362204722"/>
  <pageSetup paperSize="9" scale="87"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AD889"/>
  <sheetViews>
    <sheetView tabSelected="1" workbookViewId="0">
      <selection activeCell="D2" sqref="D2"/>
    </sheetView>
  </sheetViews>
  <sheetFormatPr defaultColWidth="14.42578125" defaultRowHeight="12.75"/>
  <cols>
    <col min="1" max="1" width="13.42578125" style="327" customWidth="1"/>
    <col min="2" max="2" width="13.5703125" style="327" customWidth="1"/>
    <col min="3" max="3" width="18.28515625" style="327" bestFit="1" customWidth="1"/>
    <col min="4" max="4" width="65" style="327" customWidth="1"/>
    <col min="5" max="5" width="13.28515625" style="327" customWidth="1"/>
    <col min="6" max="6" width="14.7109375" style="421" customWidth="1"/>
    <col min="7" max="7" width="30.42578125" style="422" hidden="1" customWidth="1"/>
    <col min="8" max="8" width="14.7109375" style="423" customWidth="1"/>
    <col min="9" max="9" width="15.85546875" style="423" customWidth="1"/>
    <col min="10" max="10" width="14.7109375" style="423" customWidth="1"/>
    <col min="11" max="11" width="13.42578125" style="327" customWidth="1"/>
    <col min="12" max="12" width="20.42578125" style="537" customWidth="1"/>
    <col min="13" max="13" width="13.7109375" style="476" hidden="1" customWidth="1"/>
    <col min="14" max="14" width="14.7109375" style="432" customWidth="1"/>
    <col min="15" max="15" width="14.7109375" style="293" customWidth="1"/>
    <col min="16" max="16" width="14.28515625" style="308" customWidth="1"/>
    <col min="17" max="17" width="10.28515625" style="308" customWidth="1"/>
    <col min="18" max="18" width="16.7109375" style="308" customWidth="1"/>
    <col min="19" max="20" width="8" style="293" customWidth="1"/>
    <col min="21" max="21" width="13.28515625" style="293" bestFit="1" customWidth="1"/>
    <col min="22" max="30" width="8" style="293" customWidth="1"/>
    <col min="31" max="16384" width="14.42578125" style="293"/>
  </cols>
  <sheetData>
    <row r="1" spans="1:30" s="11" customFormat="1" ht="15.75">
      <c r="A1" s="214"/>
      <c r="B1" s="215"/>
      <c r="C1" s="216"/>
      <c r="D1" s="569"/>
      <c r="E1" s="216"/>
      <c r="F1" s="216"/>
      <c r="G1" s="217"/>
      <c r="H1" s="694"/>
      <c r="I1" s="216"/>
      <c r="J1" s="216"/>
      <c r="K1" s="218"/>
      <c r="L1" s="539"/>
      <c r="M1" s="202"/>
      <c r="N1" s="196"/>
      <c r="O1" s="189"/>
      <c r="P1" s="191"/>
      <c r="Q1" s="433"/>
      <c r="R1" s="191"/>
      <c r="S1" s="282"/>
    </row>
    <row r="2" spans="1:30" s="11" customFormat="1" ht="14.25">
      <c r="A2" s="219" t="str">
        <f>DADOS!D7</f>
        <v>PREFEITURA MUNICIPAL DE NAVIRAÍ</v>
      </c>
      <c r="B2" s="312"/>
      <c r="C2" s="312"/>
      <c r="D2" s="342"/>
      <c r="E2" s="606" t="s">
        <v>398</v>
      </c>
      <c r="F2" s="311"/>
      <c r="G2" s="322"/>
      <c r="H2" s="324"/>
      <c r="I2" s="312"/>
      <c r="J2" s="312"/>
      <c r="K2" s="221"/>
      <c r="L2" s="539"/>
      <c r="M2" s="202"/>
      <c r="N2" s="196"/>
      <c r="O2" s="189"/>
      <c r="P2" s="191"/>
      <c r="Q2" s="191"/>
      <c r="R2" s="191"/>
      <c r="S2" s="282"/>
    </row>
    <row r="3" spans="1:30" s="11" customFormat="1" ht="14.25">
      <c r="A3" s="222" t="str">
        <f>CONCATENATE("PROJETO: ",DADOS!D12)</f>
        <v>PROJETO: REFORMA CRECHE EVA MORAES DE OLIVEIRA</v>
      </c>
      <c r="B3" s="223"/>
      <c r="C3" s="312"/>
      <c r="D3" s="342"/>
      <c r="E3" s="606" t="s">
        <v>359</v>
      </c>
      <c r="F3" s="312"/>
      <c r="G3" s="323"/>
      <c r="H3" s="324"/>
      <c r="I3" s="312"/>
      <c r="J3" s="312"/>
      <c r="K3" s="221"/>
      <c r="L3" s="539"/>
      <c r="M3" s="202"/>
      <c r="N3" s="196"/>
      <c r="O3" s="189"/>
      <c r="P3" s="191"/>
      <c r="Q3" s="191"/>
      <c r="R3" s="191"/>
      <c r="S3" s="282"/>
    </row>
    <row r="4" spans="1:30" s="11" customFormat="1" ht="14.25">
      <c r="A4" s="224" t="str">
        <f>CONCATENATE("LOCAL: ",DADOS!D8)</f>
        <v>LOCAL: AV. PONTA PORÃ, 858 - NAVIRAÍ</v>
      </c>
      <c r="B4" s="223"/>
      <c r="C4" s="312"/>
      <c r="D4" s="342"/>
      <c r="E4" s="606" t="s">
        <v>355</v>
      </c>
      <c r="F4" s="311"/>
      <c r="G4" s="322"/>
      <c r="H4" s="324"/>
      <c r="I4" s="312"/>
      <c r="J4" s="312"/>
      <c r="K4" s="221"/>
      <c r="L4" s="539"/>
      <c r="M4" s="202"/>
      <c r="N4" s="196"/>
      <c r="O4" s="189"/>
      <c r="P4" s="191"/>
      <c r="Q4" s="191"/>
      <c r="R4" s="191"/>
      <c r="S4" s="282"/>
    </row>
    <row r="5" spans="1:30" s="11" customFormat="1" ht="15.75">
      <c r="A5" s="224" t="str">
        <f>CONCATENATE(DADOS!D13)</f>
        <v>ENCARGOS SOCIAIS DESONERADOS: 83,00%(HORA) 46,50%(MÊS)</v>
      </c>
      <c r="B5" s="225"/>
      <c r="C5" s="312"/>
      <c r="D5" s="342"/>
      <c r="E5" s="220" t="str">
        <f>CONCATENATE("BDI: ",DADOS!D14)</f>
        <v>BDI: 28,82%</v>
      </c>
      <c r="F5" s="312"/>
      <c r="G5" s="323"/>
      <c r="H5" s="324"/>
      <c r="I5" s="324"/>
      <c r="J5" s="324"/>
      <c r="K5" s="221"/>
      <c r="L5" s="539"/>
      <c r="M5" s="202"/>
      <c r="N5" s="196"/>
      <c r="O5" s="189"/>
      <c r="P5" s="191"/>
      <c r="Q5" s="191"/>
      <c r="R5" s="191"/>
      <c r="S5" s="282"/>
    </row>
    <row r="6" spans="1:30" s="11" customFormat="1" ht="15.75">
      <c r="A6" s="676"/>
      <c r="B6" s="225"/>
      <c r="C6" s="312"/>
      <c r="D6" s="342"/>
      <c r="E6" s="312"/>
      <c r="F6" s="312"/>
      <c r="G6" s="323"/>
      <c r="H6" s="324"/>
      <c r="I6" s="324"/>
      <c r="J6" s="324"/>
      <c r="K6" s="221"/>
      <c r="L6" s="539"/>
      <c r="M6" s="202"/>
      <c r="N6" s="196"/>
      <c r="O6" s="189"/>
      <c r="P6" s="191"/>
      <c r="Q6" s="191"/>
      <c r="R6" s="191"/>
      <c r="S6" s="282"/>
    </row>
    <row r="7" spans="1:30" ht="14.25">
      <c r="A7" s="677"/>
      <c r="B7" s="343"/>
      <c r="C7" s="343"/>
      <c r="D7" s="344"/>
      <c r="E7" s="345"/>
      <c r="F7" s="346"/>
      <c r="G7" s="347"/>
      <c r="H7" s="348"/>
      <c r="I7" s="349"/>
      <c r="J7" s="342"/>
      <c r="K7" s="350"/>
      <c r="L7" s="540"/>
      <c r="M7" s="463"/>
      <c r="N7" s="351"/>
      <c r="O7" s="352"/>
      <c r="P7" s="298"/>
      <c r="Q7" s="353">
        <v>1.2882</v>
      </c>
      <c r="R7" s="298"/>
      <c r="S7" s="300"/>
      <c r="T7" s="4"/>
      <c r="U7" s="4"/>
      <c r="V7" s="4"/>
      <c r="W7" s="4"/>
      <c r="X7" s="4"/>
      <c r="Y7" s="4"/>
      <c r="Z7" s="4"/>
      <c r="AA7" s="4"/>
      <c r="AB7" s="4"/>
      <c r="AC7" s="4"/>
      <c r="AD7" s="4"/>
    </row>
    <row r="8" spans="1:30" ht="18">
      <c r="A8" s="930" t="s">
        <v>1</v>
      </c>
      <c r="B8" s="931"/>
      <c r="C8" s="932"/>
      <c r="D8" s="932"/>
      <c r="E8" s="932"/>
      <c r="F8" s="932"/>
      <c r="G8" s="932"/>
      <c r="H8" s="932"/>
      <c r="I8" s="932"/>
      <c r="J8" s="932"/>
      <c r="K8" s="933"/>
      <c r="L8" s="541"/>
      <c r="M8" s="464"/>
      <c r="N8" s="354"/>
      <c r="O8" s="355"/>
      <c r="P8" s="356"/>
      <c r="Q8" s="299"/>
      <c r="R8" s="298"/>
      <c r="S8" s="300"/>
      <c r="T8" s="4"/>
      <c r="U8" s="4"/>
      <c r="V8" s="4"/>
      <c r="W8" s="4"/>
      <c r="X8" s="4"/>
      <c r="Y8" s="4"/>
      <c r="Z8" s="4"/>
      <c r="AA8" s="4"/>
      <c r="AB8" s="4"/>
      <c r="AC8" s="4"/>
      <c r="AD8" s="4"/>
    </row>
    <row r="9" spans="1:30" ht="25.5">
      <c r="A9" s="663" t="s">
        <v>2</v>
      </c>
      <c r="B9" s="664" t="s">
        <v>172</v>
      </c>
      <c r="C9" s="665" t="s">
        <v>159</v>
      </c>
      <c r="D9" s="665" t="s">
        <v>3</v>
      </c>
      <c r="E9" s="665" t="s">
        <v>4</v>
      </c>
      <c r="F9" s="666" t="s">
        <v>5</v>
      </c>
      <c r="G9" s="665" t="s">
        <v>211</v>
      </c>
      <c r="H9" s="666" t="s">
        <v>151</v>
      </c>
      <c r="I9" s="666" t="s">
        <v>181</v>
      </c>
      <c r="J9" s="666" t="s">
        <v>6</v>
      </c>
      <c r="K9" s="667" t="s">
        <v>7</v>
      </c>
      <c r="L9" s="542"/>
      <c r="M9" s="465"/>
      <c r="N9" s="197"/>
      <c r="O9" s="190"/>
      <c r="P9" s="298"/>
      <c r="Q9" s="299"/>
      <c r="R9" s="298"/>
      <c r="S9" s="300"/>
      <c r="T9" s="4"/>
      <c r="U9" s="4"/>
      <c r="V9" s="4"/>
      <c r="W9" s="4"/>
      <c r="X9" s="4"/>
      <c r="Y9" s="4"/>
      <c r="Z9" s="4"/>
      <c r="AA9" s="4"/>
      <c r="AB9" s="4"/>
      <c r="AC9" s="4"/>
      <c r="AD9" s="4"/>
    </row>
    <row r="10" spans="1:30" ht="14.25">
      <c r="A10" s="357" t="s">
        <v>8</v>
      </c>
      <c r="B10" s="358"/>
      <c r="C10" s="359"/>
      <c r="D10" s="359" t="s">
        <v>9</v>
      </c>
      <c r="E10" s="359"/>
      <c r="F10" s="360"/>
      <c r="G10" s="361"/>
      <c r="H10" s="362"/>
      <c r="I10" s="362"/>
      <c r="J10" s="362"/>
      <c r="K10" s="363"/>
      <c r="L10" s="523"/>
      <c r="M10" s="466"/>
      <c r="N10" s="364"/>
      <c r="O10" s="365"/>
      <c r="P10" s="366"/>
      <c r="Q10" s="367"/>
      <c r="R10" s="368"/>
      <c r="S10" s="369"/>
      <c r="T10" s="369"/>
      <c r="U10" s="369"/>
      <c r="V10" s="369"/>
      <c r="W10" s="369"/>
      <c r="X10" s="4"/>
      <c r="Y10" s="4"/>
      <c r="Z10" s="4"/>
      <c r="AA10" s="4"/>
      <c r="AB10" s="4"/>
      <c r="AC10" s="4"/>
      <c r="AD10" s="4"/>
    </row>
    <row r="11" spans="1:30" s="626" customFormat="1">
      <c r="A11" s="705" t="s">
        <v>10</v>
      </c>
      <c r="B11" s="705" t="s">
        <v>177</v>
      </c>
      <c r="C11" s="705" t="str">
        <f>COMPOSIÇÕES!A7</f>
        <v>CMP  01</v>
      </c>
      <c r="D11" s="706" t="s">
        <v>235</v>
      </c>
      <c r="E11" s="705" t="str">
        <f>COMPOSIÇÕES!G7</f>
        <v>M2</v>
      </c>
      <c r="F11" s="707">
        <f>'MEMÓRIA DE CÁLCULO'!H12</f>
        <v>7.88</v>
      </c>
      <c r="G11" s="708" t="s">
        <v>212</v>
      </c>
      <c r="H11" s="707"/>
      <c r="I11" s="707"/>
      <c r="J11" s="707"/>
      <c r="K11" s="709"/>
      <c r="L11" s="618"/>
      <c r="M11" s="628"/>
      <c r="N11" s="625"/>
      <c r="O11" s="621"/>
      <c r="P11" s="614"/>
      <c r="Q11" s="614"/>
      <c r="R11" s="622"/>
      <c r="U11" s="627"/>
    </row>
    <row r="12" spans="1:30" s="590" customFormat="1" ht="25.5">
      <c r="A12" s="616" t="s">
        <v>12</v>
      </c>
      <c r="B12" s="157" t="s">
        <v>49</v>
      </c>
      <c r="C12" s="157">
        <v>93584</v>
      </c>
      <c r="D12" s="607" t="str">
        <f>IFERROR(VLOOKUP(C12,[4]planilhanull!$G$7:$L$6879,2,FALSE),IFERROR(VLOOKUP(C12,[5]JANEIRO_21!$A$9:$E$1593,2,FALSE),IFERROR(VLOOKUP(C12,[6]sheet1!$A$8:$E$5245,2,FALSE),0)))</f>
        <v>EXECUÇÃO DE DEPÓSITO EM CANTEIRO DE OBRA EM CHAPA DE MADEIRA COMPENSADA, NÃO INCLUSO MOBILIÁRIO. AF_04/2016</v>
      </c>
      <c r="E12" s="13" t="str">
        <f>IFERROR(VLOOKUP(C12,[4]planilhanull!$G$7:$L$6879,3,FALSE),IFERROR(VLOOKUP(C12,[5]JANEIRO_21!$A$9:$E$1593,2,FALSE),IFERROR(VLOOKUP(C12,[6]sheet1!$A$9:$E$5245,3,FALSE),0)))</f>
        <v>M2</v>
      </c>
      <c r="F12" s="617">
        <f>'MEMÓRIA DE CÁLCULO'!H13</f>
        <v>12</v>
      </c>
      <c r="G12" s="212" t="s">
        <v>213</v>
      </c>
      <c r="H12" s="710"/>
      <c r="I12" s="211"/>
      <c r="J12" s="211"/>
      <c r="K12" s="213"/>
      <c r="L12" s="582"/>
      <c r="M12" s="583"/>
      <c r="N12" s="584"/>
      <c r="O12" s="585"/>
      <c r="P12" s="586"/>
      <c r="Q12" s="586"/>
      <c r="R12" s="587"/>
      <c r="S12" s="588"/>
      <c r="T12" s="588"/>
      <c r="U12" s="589"/>
      <c r="V12" s="588"/>
      <c r="W12" s="588"/>
    </row>
    <row r="13" spans="1:30" s="590" customFormat="1">
      <c r="A13" s="616" t="s">
        <v>13</v>
      </c>
      <c r="B13" s="157" t="s">
        <v>49</v>
      </c>
      <c r="C13" s="157">
        <v>98458</v>
      </c>
      <c r="D13" s="607" t="str">
        <f>IFERROR(VLOOKUP(C13,[4]planilhanull!$G$7:$L$6879,2,FALSE),IFERROR(VLOOKUP(C13,[5]JANEIRO_21!$A$9:$E$1593,2,FALSE),IFERROR(VLOOKUP(C13,[6]sheet1!$A$8:$E$5245,2,FALSE),0)))</f>
        <v>TAPUME COM COMPENSADO DE MADEIRA. AF_05/2018</v>
      </c>
      <c r="E13" s="13" t="str">
        <f>IFERROR(VLOOKUP(C13,[4]planilhanull!$G$7:$L$6879,3,FALSE),IFERROR(VLOOKUP(C13,[5]JANEIRO_21!$A$9:$E$1593,2,FALSE),IFERROR(VLOOKUP(C13,[6]sheet1!$A$9:$E$5245,3,FALSE),0)))</f>
        <v>M2</v>
      </c>
      <c r="F13" s="617">
        <f>'MEMÓRIA DE CÁLCULO'!H14</f>
        <v>80</v>
      </c>
      <c r="G13" s="212" t="s">
        <v>341</v>
      </c>
      <c r="H13" s="710"/>
      <c r="I13" s="211"/>
      <c r="J13" s="211"/>
      <c r="K13" s="213"/>
      <c r="L13" s="582"/>
      <c r="M13" s="583"/>
      <c r="N13" s="584"/>
      <c r="O13" s="585"/>
      <c r="P13" s="586"/>
      <c r="Q13" s="586"/>
      <c r="R13" s="587"/>
      <c r="S13" s="588"/>
      <c r="T13" s="588"/>
      <c r="U13" s="589"/>
      <c r="V13" s="588"/>
      <c r="W13" s="588"/>
    </row>
    <row r="14" spans="1:30" s="590" customFormat="1" ht="25.5">
      <c r="A14" s="616" t="s">
        <v>46</v>
      </c>
      <c r="B14" s="157" t="s">
        <v>49</v>
      </c>
      <c r="C14" s="157">
        <v>93207</v>
      </c>
      <c r="D14" s="607" t="str">
        <f>IFERROR(VLOOKUP(C14,[4]planilhanull!$G$7:$L$6879,2,FALSE),IFERROR(VLOOKUP(C14,[5]JANEIRO_21!$A$9:$E$1593,2,FALSE),IFERROR(VLOOKUP(C14,[6]sheet1!$A$8:$E$5245,2,FALSE),0)))</f>
        <v>EXECUÇÃO DE ESCRITÓRIO EM CANTEIRO DE OBRA EM CHAPA DE MADEIRA COMPENSADA, NÃO INCLUSO MOBILIÁRIO E EQUIPAMENTOS. AF_02/2016</v>
      </c>
      <c r="E14" s="13" t="str">
        <f>IFERROR(VLOOKUP(C14,[4]planilhanull!$G$7:$L$6879,3,FALSE),IFERROR(VLOOKUP(C14,[5]JANEIRO_21!$A$9:$E$1593,2,FALSE),IFERROR(VLOOKUP(C14,[6]sheet1!$A$9:$E$5245,3,FALSE),0)))</f>
        <v>M2</v>
      </c>
      <c r="F14" s="617">
        <f>'MEMÓRIA DE CÁLCULO'!H15</f>
        <v>12</v>
      </c>
      <c r="G14" s="212" t="s">
        <v>342</v>
      </c>
      <c r="H14" s="710"/>
      <c r="I14" s="211"/>
      <c r="J14" s="211"/>
      <c r="K14" s="213"/>
      <c r="L14" s="582"/>
      <c r="M14" s="583"/>
      <c r="N14" s="584"/>
      <c r="O14" s="585"/>
      <c r="P14" s="586"/>
      <c r="Q14" s="586"/>
      <c r="R14" s="587"/>
      <c r="S14" s="588"/>
      <c r="T14" s="588"/>
      <c r="U14" s="589"/>
      <c r="V14" s="588"/>
      <c r="W14" s="588"/>
    </row>
    <row r="15" spans="1:30" s="590" customFormat="1" ht="25.5">
      <c r="A15" s="616" t="s">
        <v>339</v>
      </c>
      <c r="B15" s="157" t="s">
        <v>49</v>
      </c>
      <c r="C15" s="157">
        <v>93210</v>
      </c>
      <c r="D15" s="607" t="str">
        <f>IFERROR(VLOOKUP(C15,[4]planilhanull!$G$7:$L$6879,2,FALSE),IFERROR(VLOOKUP(C15,[5]JANEIRO_21!$A$9:$E$1593,2,FALSE),IFERROR(VLOOKUP(C15,[6]sheet1!$A$8:$E$5245,2,FALSE),0)))</f>
        <v>EXECUÇÃO DE REFEITÓRIO EM CANTEIRO DE OBRA EM CHAPA DE MADEIRA COMPENSADA, NÃO INCLUSO MOBILIÁRIO E EQUIPAMENTOS. AF_02/2016</v>
      </c>
      <c r="E15" s="13" t="str">
        <f>IFERROR(VLOOKUP(C15,[4]planilhanull!$G$7:$L$6879,3,FALSE),IFERROR(VLOOKUP(C15,[5]JANEIRO_21!$A$9:$E$1593,2,FALSE),IFERROR(VLOOKUP(C15,[6]sheet1!$A$9:$E$5245,3,FALSE),0)))</f>
        <v>M2</v>
      </c>
      <c r="F15" s="617">
        <f>'MEMÓRIA DE CÁLCULO'!H16</f>
        <v>8</v>
      </c>
      <c r="G15" s="212" t="s">
        <v>343</v>
      </c>
      <c r="H15" s="710"/>
      <c r="I15" s="211"/>
      <c r="J15" s="211"/>
      <c r="K15" s="213"/>
      <c r="L15" s="582"/>
      <c r="M15" s="583"/>
      <c r="N15" s="584"/>
      <c r="O15" s="585"/>
      <c r="P15" s="586"/>
      <c r="Q15" s="586"/>
      <c r="R15" s="587"/>
      <c r="S15" s="588"/>
      <c r="T15" s="588"/>
      <c r="U15" s="589"/>
      <c r="V15" s="588"/>
      <c r="W15" s="588"/>
    </row>
    <row r="16" spans="1:30">
      <c r="A16" s="711" t="s">
        <v>340</v>
      </c>
      <c r="B16" s="668" t="s">
        <v>173</v>
      </c>
      <c r="C16" s="668">
        <v>201002161</v>
      </c>
      <c r="D16" s="670" t="str">
        <f>IFERROR(VLOOKUP(C16,[4]planilhanull!$G$7:$L$6879,2,FALSE),IFERROR(VLOOKUP(C16,[5]JANEIRO_21!$A$9:$E$1593,2,FALSE),IFERROR(VLOOKUP(C16,[6]sheet1!$A$8:$E$5245,2,FALSE),0)))</f>
        <v>LOCACAO DE CACAMBA (4M3) (7 DIAS) /UN</v>
      </c>
      <c r="E16" s="671" t="s">
        <v>14</v>
      </c>
      <c r="F16" s="712">
        <f>'MEMÓRIA DE CÁLCULO'!H17</f>
        <v>30</v>
      </c>
      <c r="G16" s="673" t="s">
        <v>232</v>
      </c>
      <c r="H16" s="713"/>
      <c r="I16" s="672"/>
      <c r="J16" s="672"/>
      <c r="K16" s="674"/>
      <c r="L16" s="535"/>
      <c r="M16" s="467"/>
      <c r="N16" s="198"/>
      <c r="O16" s="194"/>
      <c r="P16" s="366"/>
      <c r="Q16" s="366"/>
      <c r="R16" s="368"/>
      <c r="S16" s="369"/>
      <c r="T16" s="369"/>
      <c r="U16" s="371"/>
      <c r="V16" s="369"/>
      <c r="W16" s="369"/>
      <c r="X16" s="4"/>
      <c r="Y16" s="4"/>
      <c r="Z16" s="4"/>
      <c r="AA16" s="4"/>
      <c r="AB16" s="4"/>
      <c r="AC16" s="4"/>
      <c r="AD16" s="4"/>
    </row>
    <row r="17" spans="1:30">
      <c r="A17" s="372"/>
      <c r="B17" s="373"/>
      <c r="C17" s="374"/>
      <c r="D17" s="374"/>
      <c r="E17" s="375"/>
      <c r="F17" s="376"/>
      <c r="G17" s="377"/>
      <c r="H17" s="376"/>
      <c r="I17" s="229" t="s">
        <v>15</v>
      </c>
      <c r="J17" s="229">
        <f>SUM(J11:J16)</f>
        <v>0</v>
      </c>
      <c r="K17" s="230">
        <f>SUM(K11:K16)</f>
        <v>0</v>
      </c>
      <c r="L17" s="535"/>
      <c r="M17" s="468"/>
      <c r="N17" s="199"/>
      <c r="O17" s="195"/>
      <c r="P17" s="368"/>
      <c r="Q17" s="366"/>
      <c r="R17" s="368"/>
      <c r="S17" s="369"/>
      <c r="T17" s="369"/>
      <c r="U17" s="369"/>
      <c r="V17" s="369"/>
      <c r="W17" s="369"/>
      <c r="X17" s="4"/>
      <c r="Y17" s="4"/>
      <c r="Z17" s="4"/>
      <c r="AA17" s="4"/>
      <c r="AB17" s="4"/>
      <c r="AC17" s="4"/>
      <c r="AD17" s="4"/>
    </row>
    <row r="18" spans="1:30">
      <c r="A18" s="378"/>
      <c r="B18" s="379"/>
      <c r="C18" s="380"/>
      <c r="D18" s="226"/>
      <c r="E18" s="233"/>
      <c r="F18" s="236"/>
      <c r="G18" s="235"/>
      <c r="H18" s="236"/>
      <c r="I18" s="241" t="s">
        <v>244</v>
      </c>
      <c r="J18" s="241">
        <f>SUM(J17)</f>
        <v>0</v>
      </c>
      <c r="K18" s="240" t="e">
        <f>J18/J127</f>
        <v>#DIV/0!</v>
      </c>
      <c r="L18" s="535"/>
      <c r="M18" s="469"/>
      <c r="N18" s="199"/>
      <c r="O18" s="195"/>
      <c r="P18" s="368" t="e">
        <f>IF(K18&gt;4%,"Verifique","ok")</f>
        <v>#DIV/0!</v>
      </c>
      <c r="Q18" s="366"/>
      <c r="R18" s="368"/>
      <c r="S18" s="369"/>
      <c r="T18" s="369"/>
      <c r="U18" s="369"/>
      <c r="V18" s="369"/>
      <c r="W18" s="369"/>
      <c r="X18" s="4"/>
      <c r="Y18" s="4"/>
      <c r="Z18" s="4"/>
      <c r="AA18" s="4"/>
      <c r="AB18" s="4"/>
      <c r="AC18" s="4"/>
      <c r="AD18" s="4"/>
    </row>
    <row r="19" spans="1:30" ht="14.25">
      <c r="A19" s="357" t="s">
        <v>16</v>
      </c>
      <c r="B19" s="358"/>
      <c r="C19" s="359"/>
      <c r="D19" s="359" t="s">
        <v>216</v>
      </c>
      <c r="E19" s="359"/>
      <c r="F19" s="360"/>
      <c r="G19" s="361"/>
      <c r="H19" s="362"/>
      <c r="I19" s="362"/>
      <c r="J19" s="362"/>
      <c r="K19" s="363"/>
      <c r="L19" s="535"/>
      <c r="M19" s="469"/>
      <c r="N19" s="199"/>
      <c r="O19" s="195"/>
      <c r="P19" s="368"/>
      <c r="Q19" s="366"/>
      <c r="R19" s="368"/>
      <c r="S19" s="369"/>
      <c r="T19" s="369"/>
      <c r="U19" s="369"/>
      <c r="V19" s="369"/>
      <c r="W19" s="369"/>
      <c r="X19" s="4"/>
      <c r="Y19" s="4"/>
      <c r="Z19" s="4"/>
      <c r="AA19" s="4"/>
      <c r="AB19" s="4"/>
      <c r="AC19" s="4"/>
      <c r="AD19" s="4"/>
    </row>
    <row r="20" spans="1:30" ht="12.75" customHeight="1">
      <c r="A20" s="357" t="s">
        <v>283</v>
      </c>
      <c r="B20" s="358"/>
      <c r="C20" s="359"/>
      <c r="D20" s="359" t="s">
        <v>45</v>
      </c>
      <c r="E20" s="359"/>
      <c r="F20" s="208"/>
      <c r="G20" s="361"/>
      <c r="H20" s="362"/>
      <c r="I20" s="362"/>
      <c r="J20" s="362"/>
      <c r="K20" s="363"/>
      <c r="L20" s="523"/>
      <c r="M20" s="466"/>
      <c r="N20" s="364"/>
      <c r="O20" s="365"/>
      <c r="P20" s="368"/>
      <c r="Q20" s="366" t="s">
        <v>178</v>
      </c>
      <c r="R20" s="368"/>
      <c r="S20" s="369"/>
      <c r="T20" s="369"/>
      <c r="U20" s="369"/>
      <c r="V20" s="369"/>
      <c r="W20" s="369"/>
      <c r="X20" s="4"/>
      <c r="Y20" s="4"/>
      <c r="Z20" s="4"/>
      <c r="AA20" s="4"/>
      <c r="AB20" s="4"/>
      <c r="AC20" s="4"/>
      <c r="AD20" s="4"/>
    </row>
    <row r="21" spans="1:30" ht="14.25">
      <c r="A21" s="357" t="s">
        <v>284</v>
      </c>
      <c r="B21" s="358"/>
      <c r="C21" s="359"/>
      <c r="D21" s="359" t="s">
        <v>179</v>
      </c>
      <c r="E21" s="359"/>
      <c r="F21" s="208"/>
      <c r="G21" s="361"/>
      <c r="H21" s="362"/>
      <c r="I21" s="362"/>
      <c r="J21" s="362"/>
      <c r="K21" s="363"/>
      <c r="L21" s="523"/>
      <c r="M21" s="466"/>
      <c r="N21" s="364"/>
      <c r="O21" s="365"/>
      <c r="P21" s="368"/>
      <c r="Q21" s="366"/>
      <c r="R21" s="368"/>
      <c r="S21" s="369"/>
      <c r="T21" s="369"/>
      <c r="U21" s="369"/>
      <c r="V21" s="369"/>
      <c r="W21" s="369"/>
      <c r="X21" s="4"/>
      <c r="Y21" s="4"/>
      <c r="Z21" s="4"/>
      <c r="AA21" s="4"/>
      <c r="AB21" s="4"/>
      <c r="AC21" s="4"/>
      <c r="AD21" s="4"/>
    </row>
    <row r="22" spans="1:30" ht="25.5">
      <c r="A22" s="207" t="s">
        <v>285</v>
      </c>
      <c r="B22" s="207" t="s">
        <v>49</v>
      </c>
      <c r="C22" s="207">
        <v>97634</v>
      </c>
      <c r="D22" s="608" t="str">
        <f>IFERROR(VLOOKUP(C22,[4]planilhanull!$G$7:$L$6879,2,FALSE),IFERROR(VLOOKUP(C22,[5]JANEIRO_21!$A$9:$E$1593,2,FALSE),IFERROR(VLOOKUP(C22,[6]sheet1!$A$8:$E$5245,2,FALSE),0)))</f>
        <v>DEMOLIÇÃO DE REVESTIMENTO CERÂMICO, DE FORMA MECANIZADA COM MARTELETE, SEM REAPROVEITAMENTO. AF_12/2017</v>
      </c>
      <c r="E22" s="205" t="str">
        <f>IFERROR(VLOOKUP(C22,[4]planilhanull!$G$7:$L$6879,3,FALSE),IFERROR(VLOOKUP(C22,[5]JANEIRO_21!$A$9:$E$1593,2,FALSE),IFERROR(VLOOKUP(C22,[6]sheet1!$A$9:$E$5245,3,FALSE),0)))</f>
        <v>M2</v>
      </c>
      <c r="F22" s="208">
        <f>'MEMÓRIA DE CÁLCULO'!H21</f>
        <v>204.66</v>
      </c>
      <c r="G22" s="209" t="s">
        <v>266</v>
      </c>
      <c r="H22" s="714"/>
      <c r="I22" s="208"/>
      <c r="J22" s="208"/>
      <c r="K22" s="210"/>
      <c r="L22" s="523"/>
      <c r="M22" s="466"/>
      <c r="N22" s="364"/>
      <c r="O22" s="365"/>
      <c r="P22" s="368"/>
      <c r="Q22" s="366"/>
      <c r="R22" s="368"/>
      <c r="S22" s="369"/>
      <c r="T22" s="369"/>
      <c r="U22" s="369"/>
      <c r="V22" s="369"/>
      <c r="W22" s="369"/>
      <c r="X22" s="4"/>
      <c r="Y22" s="4"/>
      <c r="Z22" s="4"/>
      <c r="AA22" s="4"/>
      <c r="AB22" s="4"/>
      <c r="AC22" s="4"/>
      <c r="AD22" s="4"/>
    </row>
    <row r="23" spans="1:30" ht="25.5">
      <c r="A23" s="157" t="s">
        <v>286</v>
      </c>
      <c r="B23" s="157" t="s">
        <v>49</v>
      </c>
      <c r="C23" s="157">
        <v>97631</v>
      </c>
      <c r="D23" s="607" t="str">
        <f>IFERROR(VLOOKUP(C23,[4]planilhanull!$G$7:$L$6879,2,FALSE),IFERROR(VLOOKUP(C23,[5]JANEIRO_21!$A$9:$E$1593,2,FALSE),IFERROR(VLOOKUP(C23,[6]sheet1!$A$8:$E$5245,2,FALSE),0)))</f>
        <v>DEMOLIÇÃO DE ARGAMASSAS, DE FORMA MANUAL, SEM REAPROVEITAMENTO. AF_12/2017</v>
      </c>
      <c r="E23" s="13" t="str">
        <f>IFERROR(VLOOKUP(C23,[4]planilhanull!$G$7:$L$6879,3,FALSE),IFERROR(VLOOKUP(C23,[5]JANEIRO_21!$A$9:$E$1593,2,FALSE),IFERROR(VLOOKUP(C23,[6]sheet1!$A$9:$E$5245,3,FALSE),0)))</f>
        <v>M2</v>
      </c>
      <c r="F23" s="211">
        <f>'MEMÓRIA DE CÁLCULO'!H22</f>
        <v>583.70000000000005</v>
      </c>
      <c r="G23" s="212" t="s">
        <v>267</v>
      </c>
      <c r="H23" s="710"/>
      <c r="I23" s="211"/>
      <c r="J23" s="211"/>
      <c r="K23" s="213"/>
      <c r="L23" s="523"/>
      <c r="M23" s="466"/>
      <c r="N23" s="364"/>
      <c r="O23" s="365"/>
      <c r="P23" s="368"/>
      <c r="Q23" s="366"/>
      <c r="R23" s="368"/>
      <c r="S23" s="369"/>
      <c r="T23" s="369"/>
      <c r="U23" s="369"/>
      <c r="V23" s="369"/>
      <c r="W23" s="369"/>
      <c r="X23" s="4"/>
      <c r="Y23" s="4"/>
      <c r="Z23" s="4"/>
      <c r="AA23" s="4"/>
      <c r="AB23" s="4"/>
      <c r="AC23" s="4"/>
      <c r="AD23" s="4"/>
    </row>
    <row r="24" spans="1:30" ht="14.25">
      <c r="A24" s="668" t="s">
        <v>320</v>
      </c>
      <c r="B24" s="668" t="s">
        <v>173</v>
      </c>
      <c r="C24" s="669">
        <v>201002036</v>
      </c>
      <c r="D24" s="670" t="str">
        <f>IFERROR(VLOOKUP(C24,[4]planilhanull!$G$7:$L$6879,2,FALSE),IFERROR(VLOOKUP(C24,[5]JANEIRO_21!$A$9:$E$1593,2,FALSE),IFERROR(VLOOKUP(C24,[6]sheet1!$A$8:$E$5245,2,FALSE),0)))</f>
        <v>DEMOLICAO DE FORRO DE TABUAS DE PINHO /M2</v>
      </c>
      <c r="E24" s="671" t="s">
        <v>11</v>
      </c>
      <c r="F24" s="672">
        <f>'MEMÓRIA DE CÁLCULO'!H23</f>
        <v>383.90000000000003</v>
      </c>
      <c r="G24" s="673" t="s">
        <v>321</v>
      </c>
      <c r="H24" s="713"/>
      <c r="I24" s="672"/>
      <c r="J24" s="672"/>
      <c r="K24" s="674"/>
      <c r="L24" s="523"/>
      <c r="M24" s="466"/>
      <c r="N24" s="364"/>
      <c r="O24" s="365"/>
      <c r="P24" s="368"/>
      <c r="Q24" s="366"/>
      <c r="R24" s="368"/>
      <c r="S24" s="369"/>
      <c r="T24" s="369"/>
      <c r="U24" s="369"/>
      <c r="V24" s="369"/>
      <c r="W24" s="369"/>
      <c r="X24" s="4"/>
      <c r="Y24" s="4"/>
      <c r="Z24" s="4"/>
      <c r="AA24" s="4"/>
      <c r="AB24" s="4"/>
      <c r="AC24" s="4"/>
      <c r="AD24" s="4"/>
    </row>
    <row r="25" spans="1:30">
      <c r="A25" s="372"/>
      <c r="B25" s="373"/>
      <c r="C25" s="374"/>
      <c r="D25" s="374"/>
      <c r="E25" s="375"/>
      <c r="F25" s="208"/>
      <c r="G25" s="377"/>
      <c r="H25" s="376"/>
      <c r="I25" s="229" t="s">
        <v>306</v>
      </c>
      <c r="J25" s="229">
        <f>SUM(J22:J24)</f>
        <v>0</v>
      </c>
      <c r="K25" s="230">
        <f>SUM(K22:K24)</f>
        <v>0</v>
      </c>
      <c r="L25" s="535"/>
      <c r="M25" s="470"/>
      <c r="N25" s="199"/>
      <c r="O25" s="195"/>
      <c r="P25" s="368"/>
      <c r="Q25" s="366"/>
      <c r="R25" s="368"/>
      <c r="S25" s="369"/>
      <c r="T25" s="369"/>
      <c r="U25" s="369"/>
      <c r="V25" s="369"/>
      <c r="W25" s="369"/>
      <c r="X25" s="4"/>
      <c r="Y25" s="4"/>
      <c r="Z25" s="4"/>
      <c r="AA25" s="4"/>
      <c r="AB25" s="4"/>
      <c r="AC25" s="4"/>
      <c r="AD25" s="4"/>
    </row>
    <row r="26" spans="1:30">
      <c r="A26" s="378"/>
      <c r="B26" s="379"/>
      <c r="C26" s="380"/>
      <c r="D26" s="380"/>
      <c r="E26" s="233"/>
      <c r="F26" s="236"/>
      <c r="G26" s="235"/>
      <c r="H26" s="236"/>
      <c r="I26" s="229" t="s">
        <v>307</v>
      </c>
      <c r="J26" s="229">
        <f>J25</f>
        <v>0</v>
      </c>
      <c r="K26" s="240" t="e">
        <f>J26/$J$127</f>
        <v>#DIV/0!</v>
      </c>
      <c r="L26" s="536"/>
      <c r="M26" s="471"/>
      <c r="N26" s="200"/>
      <c r="O26" s="155"/>
      <c r="P26" s="3"/>
      <c r="Q26" s="291"/>
      <c r="R26" s="3"/>
      <c r="S26" s="4"/>
      <c r="T26" s="4"/>
      <c r="U26" s="4"/>
      <c r="V26" s="4"/>
      <c r="W26" s="4"/>
      <c r="X26" s="4"/>
      <c r="Y26" s="4"/>
      <c r="Z26" s="4"/>
      <c r="AA26" s="4"/>
      <c r="AB26" s="4"/>
      <c r="AC26" s="4"/>
      <c r="AD26" s="4"/>
    </row>
    <row r="27" spans="1:30" ht="14.25">
      <c r="A27" s="357" t="s">
        <v>287</v>
      </c>
      <c r="B27" s="358"/>
      <c r="C27" s="359"/>
      <c r="D27" s="359" t="s">
        <v>180</v>
      </c>
      <c r="E27" s="359"/>
      <c r="F27" s="698"/>
      <c r="G27" s="361"/>
      <c r="H27" s="362"/>
      <c r="I27" s="362"/>
      <c r="J27" s="362"/>
      <c r="K27" s="363"/>
      <c r="L27" s="523"/>
      <c r="M27" s="466"/>
      <c r="N27" s="364"/>
      <c r="O27" s="381"/>
      <c r="P27" s="3"/>
      <c r="Q27" s="291"/>
      <c r="R27" s="3"/>
      <c r="S27" s="4"/>
      <c r="T27" s="4"/>
      <c r="U27" s="382"/>
      <c r="V27" s="4"/>
      <c r="W27" s="4"/>
      <c r="X27" s="4"/>
      <c r="Y27" s="4"/>
      <c r="Z27" s="4"/>
      <c r="AA27" s="4"/>
      <c r="AB27" s="4"/>
      <c r="AC27" s="4"/>
      <c r="AD27" s="4"/>
    </row>
    <row r="28" spans="1:30" ht="25.5">
      <c r="A28" s="207" t="s">
        <v>288</v>
      </c>
      <c r="B28" s="207" t="s">
        <v>49</v>
      </c>
      <c r="C28" s="207">
        <v>97647</v>
      </c>
      <c r="D28" s="608" t="str">
        <f>IFERROR(VLOOKUP(C28,[4]planilhanull!$G$7:$L$6879,2,FALSE),IFERROR(VLOOKUP(C28,[5]JANEIRO_21!$A$9:$E$1593,2,FALSE),IFERROR(VLOOKUP(C28,[6]sheet1!$A$8:$E$5245,2,FALSE),0)))</f>
        <v>REMOÇÃO DE TELHAS, DE FIBROCIMENTO, METÁLICA E CERÂMICA, DE FORMA MANUAL, SEM REAPROVEITAMENTO. AF_12/2017</v>
      </c>
      <c r="E28" s="205" t="str">
        <f>IFERROR(VLOOKUP(C28,[4]planilhanull!$G$7:$L$6879,3,FALSE),IFERROR(VLOOKUP(C28,[5]JANEIRO_21!$A$9:$E$1593,2,FALSE),IFERROR(VLOOKUP(C28,[6]sheet1!$A$9:$E$5245,3,FALSE),0)))</f>
        <v>M2</v>
      </c>
      <c r="F28" s="208">
        <f>'MEMÓRIA DE CÁLCULO'!H25</f>
        <v>807</v>
      </c>
      <c r="G28" s="209" t="s">
        <v>251</v>
      </c>
      <c r="H28" s="714"/>
      <c r="I28" s="208"/>
      <c r="J28" s="208"/>
      <c r="K28" s="210"/>
      <c r="L28" s="535"/>
      <c r="M28" s="478"/>
      <c r="N28" s="198"/>
      <c r="O28" s="194"/>
      <c r="P28" s="368"/>
      <c r="Q28" s="366"/>
      <c r="R28" s="368"/>
      <c r="S28" s="369"/>
      <c r="T28" s="369"/>
      <c r="U28" s="371"/>
      <c r="V28" s="369"/>
      <c r="W28" s="369"/>
      <c r="X28" s="4"/>
      <c r="Y28" s="4"/>
      <c r="Z28" s="4"/>
      <c r="AA28" s="4"/>
      <c r="AB28" s="4"/>
      <c r="AC28" s="4"/>
      <c r="AD28" s="4"/>
    </row>
    <row r="29" spans="1:30" ht="25.5">
      <c r="A29" s="157" t="s">
        <v>289</v>
      </c>
      <c r="B29" s="157" t="s">
        <v>49</v>
      </c>
      <c r="C29" s="157">
        <v>97650</v>
      </c>
      <c r="D29" s="607" t="str">
        <f>IFERROR(VLOOKUP(C29,[4]planilhanull!$G$7:$L$6879,2,FALSE),IFERROR(VLOOKUP(C29,[5]JANEIRO_21!$A$9:$E$1593,2,FALSE),IFERROR(VLOOKUP(C29,[6]sheet1!$A$8:$E$5245,2,FALSE),0)))</f>
        <v>REMOÇÃO DE TRAMA DE MADEIRA PARA COBERTURA, DE FORMA MANUAL, SEM REAPROVEITAMENTO. AF_12/2017</v>
      </c>
      <c r="E29" s="13" t="str">
        <f>IFERROR(VLOOKUP(C29,[4]planilhanull!$G$7:$L$6879,3,FALSE),IFERROR(VLOOKUP(C29,[5]JANEIRO_21!$A$9:$E$1593,2,FALSE),IFERROR(VLOOKUP(C29,[6]sheet1!$A$9:$E$5245,3,FALSE),0)))</f>
        <v>M2</v>
      </c>
      <c r="F29" s="211">
        <f>'MEMÓRIA DE CÁLCULO'!H26</f>
        <v>807</v>
      </c>
      <c r="G29" s="212" t="s">
        <v>252</v>
      </c>
      <c r="H29" s="710"/>
      <c r="I29" s="211"/>
      <c r="J29" s="211"/>
      <c r="K29" s="213"/>
      <c r="L29" s="535"/>
      <c r="M29" s="478"/>
      <c r="N29" s="198"/>
      <c r="O29" s="194"/>
      <c r="P29" s="368"/>
      <c r="Q29" s="366"/>
      <c r="R29" s="368"/>
      <c r="S29" s="369"/>
      <c r="T29" s="369"/>
      <c r="U29" s="371"/>
      <c r="V29" s="369"/>
      <c r="W29" s="369"/>
      <c r="X29" s="4"/>
      <c r="Y29" s="4"/>
      <c r="Z29" s="4"/>
      <c r="AA29" s="4"/>
      <c r="AB29" s="4"/>
      <c r="AC29" s="4"/>
      <c r="AD29" s="4"/>
    </row>
    <row r="30" spans="1:30" s="297" customFormat="1">
      <c r="A30" s="157" t="s">
        <v>290</v>
      </c>
      <c r="B30" s="157" t="s">
        <v>173</v>
      </c>
      <c r="C30" s="157">
        <v>201002156</v>
      </c>
      <c r="D30" s="607" t="str">
        <f>IFERROR(VLOOKUP(C30,[4]planilhanull!$G$7:$L$6879,2,FALSE),IFERROR(VLOOKUP(C30,[5]JANEIRO_21!$A$9:$E$1593,2,FALSE),IFERROR(VLOOKUP(C30,[6]sheet1!$A$8:$E$5245,2,FALSE),0)))</f>
        <v>RETIRADA DE PINTURA ANTIGA A OLEO OU ESMALTE /M2</v>
      </c>
      <c r="E30" s="13" t="s">
        <v>11</v>
      </c>
      <c r="F30" s="211">
        <f>'MEMÓRIA DE CÁLCULO'!H27</f>
        <v>583.70000000000005</v>
      </c>
      <c r="G30" s="212" t="s">
        <v>268</v>
      </c>
      <c r="H30" s="710"/>
      <c r="I30" s="211"/>
      <c r="J30" s="211"/>
      <c r="K30" s="213"/>
      <c r="L30" s="535"/>
      <c r="M30" s="478"/>
      <c r="N30" s="198"/>
      <c r="O30" s="194"/>
      <c r="P30" s="368"/>
      <c r="Q30" s="366"/>
      <c r="R30" s="368"/>
      <c r="S30" s="369"/>
      <c r="T30" s="369"/>
      <c r="U30" s="371"/>
      <c r="V30" s="369"/>
      <c r="W30" s="369"/>
      <c r="X30" s="296"/>
      <c r="Y30" s="296"/>
      <c r="Z30" s="296"/>
      <c r="AA30" s="296"/>
      <c r="AB30" s="296"/>
      <c r="AC30" s="296"/>
      <c r="AD30" s="296"/>
    </row>
    <row r="31" spans="1:30" ht="25.5">
      <c r="A31" s="157" t="s">
        <v>291</v>
      </c>
      <c r="B31" s="157" t="s">
        <v>49</v>
      </c>
      <c r="C31" s="157">
        <v>97663</v>
      </c>
      <c r="D31" s="607" t="str">
        <f>IFERROR(VLOOKUP(C31,[4]planilhanull!$G$7:$L$6879,2,FALSE),IFERROR(VLOOKUP(C31,[5]JANEIRO_21!$A$9:$E$1593,2,FALSE),IFERROR(VLOOKUP(C31,[6]sheet1!$A$8:$E$5245,2,FALSE),0)))</f>
        <v>REMOÇÃO DE LOUÇAS, DE FORMA MANUAL, SEM REAPROVEITAMENTO. AF_12/2017</v>
      </c>
      <c r="E31" s="13" t="str">
        <f>IFERROR(VLOOKUP(C31,[4]planilhanull!$G$7:$L$6879,3,FALSE),IFERROR(VLOOKUP(C31,[5]JANEIRO_21!$A$9:$E$1593,2,FALSE),IFERROR(VLOOKUP(C31,[6]sheet1!$A$9:$E$5245,3,FALSE),0)))</f>
        <v>UN</v>
      </c>
      <c r="F31" s="211">
        <f>'MEMÓRIA DE CÁLCULO'!H28</f>
        <v>11</v>
      </c>
      <c r="G31" s="212" t="s">
        <v>215</v>
      </c>
      <c r="H31" s="710"/>
      <c r="I31" s="211"/>
      <c r="J31" s="211"/>
      <c r="K31" s="213"/>
      <c r="L31" s="523"/>
      <c r="M31" s="466"/>
      <c r="N31" s="364"/>
      <c r="O31" s="381"/>
      <c r="P31" s="3"/>
      <c r="Q31" s="291"/>
      <c r="R31" s="3"/>
      <c r="S31" s="4"/>
      <c r="T31" s="4"/>
      <c r="U31" s="382"/>
      <c r="V31" s="4"/>
      <c r="W31" s="4"/>
      <c r="X31" s="4"/>
      <c r="Y31" s="4"/>
      <c r="Z31" s="4"/>
      <c r="AA31" s="4"/>
      <c r="AB31" s="4"/>
      <c r="AC31" s="4"/>
      <c r="AD31" s="4"/>
    </row>
    <row r="32" spans="1:30" ht="25.5">
      <c r="A32" s="157" t="s">
        <v>292</v>
      </c>
      <c r="B32" s="157" t="s">
        <v>49</v>
      </c>
      <c r="C32" s="157">
        <v>97666</v>
      </c>
      <c r="D32" s="607" t="str">
        <f>IFERROR(VLOOKUP(C32,[4]planilhanull!$G$7:$L$6879,2,FALSE),IFERROR(VLOOKUP(C32,[5]JANEIRO_21!$A$9:$E$1593,2,FALSE),IFERROR(VLOOKUP(C32,[6]sheet1!$A$8:$E$5245,2,FALSE),0)))</f>
        <v>REMOÇÃO DE METAIS SANITÁRIOS, DE FORMA MANUAL, SEM REAPROVEITAMENTO. AF_12/2017</v>
      </c>
      <c r="E32" s="13" t="str">
        <f>IFERROR(VLOOKUP(C32,[4]planilhanull!$G$7:$L$6879,3,FALSE),IFERROR(VLOOKUP(C32,[5]JANEIRO_21!$A$9:$E$1593,2,FALSE),IFERROR(VLOOKUP(C32,[6]sheet1!$A$9:$E$5245,3,FALSE),0)))</f>
        <v>UN</v>
      </c>
      <c r="F32" s="211">
        <f>'MEMÓRIA DE CÁLCULO'!H29</f>
        <v>25</v>
      </c>
      <c r="G32" s="212" t="s">
        <v>215</v>
      </c>
      <c r="H32" s="710"/>
      <c r="I32" s="211"/>
      <c r="J32" s="211"/>
      <c r="K32" s="213"/>
      <c r="L32" s="536"/>
      <c r="M32" s="473"/>
      <c r="N32" s="193"/>
      <c r="O32" s="154"/>
      <c r="P32" s="3"/>
      <c r="Q32" s="291"/>
      <c r="R32" s="3"/>
      <c r="S32" s="4"/>
      <c r="T32" s="4"/>
      <c r="U32" s="382"/>
      <c r="V32" s="4"/>
      <c r="W32" s="4"/>
      <c r="X32" s="4"/>
      <c r="Y32" s="4"/>
      <c r="Z32" s="4"/>
      <c r="AA32" s="4"/>
      <c r="AB32" s="4"/>
      <c r="AC32" s="4"/>
      <c r="AD32" s="4"/>
    </row>
    <row r="33" spans="1:30" s="327" customFormat="1" ht="25.5">
      <c r="A33" s="157" t="s">
        <v>293</v>
      </c>
      <c r="B33" s="157" t="s">
        <v>49</v>
      </c>
      <c r="C33" s="157">
        <v>97664</v>
      </c>
      <c r="D33" s="607" t="str">
        <f>IFERROR(VLOOKUP(C33,[4]planilhanull!$G$7:$L$6879,2,FALSE),IFERROR(VLOOKUP(C33,[5]JANEIRO_21!$A$9:$E$1593,2,FALSE),IFERROR(VLOOKUP(C33,[6]sheet1!$A$8:$E$5245,2,FALSE),0)))</f>
        <v>REMOÇÃO DE ACESSÓRIOS, DE FORMA MANUAL, SEM REAPROVEITAMENTO. AF_12/2017</v>
      </c>
      <c r="E33" s="13" t="str">
        <f>IFERROR(VLOOKUP(C33,[4]planilhanull!$G$7:$L$6879,3,FALSE),IFERROR(VLOOKUP(C33,[5]JANEIRO_21!$A$9:$E$1593,2,FALSE),IFERROR(VLOOKUP(C33,[6]sheet1!$A$9:$E$5245,3,FALSE),0)))</f>
        <v>UN</v>
      </c>
      <c r="F33" s="211">
        <f>'MEMÓRIA DE CÁLCULO'!H30</f>
        <v>16</v>
      </c>
      <c r="G33" s="212" t="s">
        <v>233</v>
      </c>
      <c r="H33" s="710"/>
      <c r="I33" s="211"/>
      <c r="J33" s="211"/>
      <c r="K33" s="213"/>
      <c r="L33" s="536"/>
      <c r="M33" s="473"/>
      <c r="N33" s="332"/>
      <c r="O33" s="154"/>
      <c r="P33" s="3"/>
      <c r="Q33" s="291"/>
      <c r="R33" s="3"/>
      <c r="U33" s="441"/>
    </row>
    <row r="34" spans="1:30" s="590" customFormat="1" ht="25.5" customHeight="1">
      <c r="A34" s="157" t="s">
        <v>294</v>
      </c>
      <c r="B34" s="157" t="s">
        <v>49</v>
      </c>
      <c r="C34" s="157">
        <v>97644</v>
      </c>
      <c r="D34" s="607" t="str">
        <f>IFERROR(VLOOKUP(C34,[4]planilhanull!$G$7:$L$6879,2,FALSE),IFERROR(VLOOKUP(C34,[5]JANEIRO_21!$A$9:$E$1593,2,FALSE),IFERROR(VLOOKUP(C34,[6]sheet1!$A$8:$E$5245,2,FALSE),0)))</f>
        <v>REMOÇÃO DE PORTAS, DE FORMA MANUAL, SEM REAPROVEITAMENTO. AF_12/2017</v>
      </c>
      <c r="E34" s="13" t="str">
        <f>IFERROR(VLOOKUP(C34,[4]planilhanull!$G$7:$L$6879,3,FALSE),IFERROR(VLOOKUP(C34,[5]JANEIRO_21!$A$9:$E$1593,2,FALSE),IFERROR(VLOOKUP(C34,[6]sheet1!$A$9:$E$5245,3,FALSE),0)))</f>
        <v>M2</v>
      </c>
      <c r="F34" s="211">
        <f>'MEMÓRIA DE CÁLCULO'!H31</f>
        <v>30.72</v>
      </c>
      <c r="G34" s="212" t="s">
        <v>233</v>
      </c>
      <c r="H34" s="710"/>
      <c r="I34" s="211"/>
      <c r="J34" s="211"/>
      <c r="K34" s="213"/>
      <c r="L34" s="591"/>
      <c r="M34" s="592"/>
      <c r="N34" s="593"/>
      <c r="O34" s="594"/>
      <c r="P34" s="595"/>
      <c r="Q34" s="596"/>
      <c r="R34" s="595"/>
      <c r="U34" s="597"/>
    </row>
    <row r="35" spans="1:30" s="590" customFormat="1" ht="25.5" customHeight="1">
      <c r="A35" s="157" t="s">
        <v>344</v>
      </c>
      <c r="B35" s="157" t="s">
        <v>49</v>
      </c>
      <c r="C35" s="157">
        <v>97645</v>
      </c>
      <c r="D35" s="607" t="str">
        <f>IFERROR(VLOOKUP(C35,[4]planilhanull!$G$7:$L$6879,2,FALSE),IFERROR(VLOOKUP(C35,[5]JANEIRO_21!$A$9:$E$1593,2,FALSE),IFERROR(VLOOKUP(C35,[6]sheet1!$A$8:$E$5245,2,FALSE),0)))</f>
        <v>REMOÇÃO DE JANELAS, DE FORMA MANUAL, SEM REAPROVEITAMENTO. AF_12/2017</v>
      </c>
      <c r="E35" s="13" t="str">
        <f>IFERROR(VLOOKUP(C35,[4]planilhanull!$G$7:$L$6879,3,FALSE),IFERROR(VLOOKUP(C35,[5]JANEIRO_21!$A$9:$E$1593,2,FALSE),IFERROR(VLOOKUP(C35,[6]sheet1!$A$9:$E$5245,3,FALSE),0)))</f>
        <v>M2</v>
      </c>
      <c r="F35" s="211">
        <f>'MEMÓRIA DE CÁLCULO'!H32</f>
        <v>12</v>
      </c>
      <c r="G35" s="212" t="s">
        <v>233</v>
      </c>
      <c r="H35" s="710"/>
      <c r="I35" s="211"/>
      <c r="J35" s="211"/>
      <c r="K35" s="213"/>
      <c r="L35" s="591"/>
      <c r="M35" s="592"/>
      <c r="N35" s="593"/>
      <c r="O35" s="594"/>
      <c r="P35" s="595"/>
      <c r="Q35" s="596"/>
      <c r="R35" s="595"/>
      <c r="U35" s="597"/>
    </row>
    <row r="36" spans="1:30" s="590" customFormat="1" ht="25.5" customHeight="1">
      <c r="A36" s="157" t="s">
        <v>295</v>
      </c>
      <c r="B36" s="157" t="s">
        <v>49</v>
      </c>
      <c r="C36" s="157">
        <v>97640</v>
      </c>
      <c r="D36" s="607" t="str">
        <f>IFERROR(VLOOKUP(C36,[4]planilhanull!$G$7:$L$6879,2,FALSE),IFERROR(VLOOKUP(C36,[5]JANEIRO_21!$A$9:$E$1593,2,FALSE),IFERROR(VLOOKUP(C36,[6]sheet1!$A$8:$E$5245,2,FALSE),0)))</f>
        <v>REMOÇÃO DE FORROS DE DRYWALL, PVC E FIBROMINERAL, DE FORMA MANUAL, SEM REAPROVEITAMENTO. AF_12/2017</v>
      </c>
      <c r="E36" s="13" t="str">
        <f>IFERROR(VLOOKUP(C36,[4]planilhanull!$G$7:$L$6879,3,FALSE),IFERROR(VLOOKUP(C36,[5]JANEIRO_21!$A$9:$E$1593,2,FALSE),IFERROR(VLOOKUP(C36,[6]sheet1!$A$9:$E$5245,3,FALSE),0)))</f>
        <v>M2</v>
      </c>
      <c r="F36" s="211">
        <f>'MEMÓRIA DE CÁLCULO'!H33</f>
        <v>12.7</v>
      </c>
      <c r="G36" s="212" t="s">
        <v>233</v>
      </c>
      <c r="H36" s="710"/>
      <c r="I36" s="211"/>
      <c r="J36" s="211"/>
      <c r="K36" s="213"/>
      <c r="L36" s="591"/>
      <c r="M36" s="592"/>
      <c r="N36" s="593"/>
      <c r="O36" s="594"/>
      <c r="P36" s="595"/>
      <c r="Q36" s="596"/>
      <c r="R36" s="595"/>
      <c r="U36" s="597"/>
    </row>
    <row r="37" spans="1:30" s="590" customFormat="1" ht="25.5" customHeight="1">
      <c r="A37" s="157" t="s">
        <v>392</v>
      </c>
      <c r="B37" s="157" t="s">
        <v>49</v>
      </c>
      <c r="C37" s="157">
        <v>97642</v>
      </c>
      <c r="D37" s="607" t="str">
        <f>IFERROR(VLOOKUP(C37,[4]planilhanull!$G$7:$L$6879,2,FALSE),IFERROR(VLOOKUP(C37,[5]JANEIRO_21!$A$9:$E$1593,2,FALSE),IFERROR(VLOOKUP(C37,[6]sheet1!$A$8:$E$5245,2,FALSE),0)))</f>
        <v>REMOÇÃO DE TRAMA METÁLICA OU DE MADEIRA PARA FORRO, DE FORMA MANUAL, SEM REAPROVEITAMENTO. AF_12/2017</v>
      </c>
      <c r="E37" s="13" t="str">
        <f>IFERROR(VLOOKUP(C37,[4]planilhanull!$G$7:$L$6879,3,FALSE),IFERROR(VLOOKUP(C37,[5]JANEIRO_21!$A$9:$E$1593,2,FALSE),IFERROR(VLOOKUP(C37,[6]sheet1!$A$9:$E$5245,3,FALSE),0)))</f>
        <v>M2</v>
      </c>
      <c r="F37" s="211">
        <f>'MEMÓRIA DE CÁLCULO'!H34</f>
        <v>396.6</v>
      </c>
      <c r="G37" s="212" t="s">
        <v>233</v>
      </c>
      <c r="H37" s="710"/>
      <c r="I37" s="211"/>
      <c r="J37" s="211"/>
      <c r="K37" s="213"/>
      <c r="L37" s="591"/>
      <c r="M37" s="592"/>
      <c r="N37" s="593"/>
      <c r="O37" s="594"/>
      <c r="P37" s="595"/>
      <c r="Q37" s="596"/>
      <c r="R37" s="595"/>
      <c r="U37" s="597"/>
    </row>
    <row r="38" spans="1:30" s="626" customFormat="1" ht="15" customHeight="1">
      <c r="A38" s="668" t="s">
        <v>393</v>
      </c>
      <c r="B38" s="668" t="s">
        <v>177</v>
      </c>
      <c r="C38" s="668" t="str">
        <f>COMPOSIÇÕES!A17</f>
        <v>CMP 02</v>
      </c>
      <c r="D38" s="670" t="str">
        <f>COMPOSIÇÕES!C17</f>
        <v>REMOÇÃO DE CHUVEIRO ELÉTRICO COMUM CORPO PLÁSTICO</v>
      </c>
      <c r="E38" s="671" t="s">
        <v>14</v>
      </c>
      <c r="F38" s="672">
        <f>'MEMÓRIA DE CÁLCULO'!H35</f>
        <v>8</v>
      </c>
      <c r="G38" s="673" t="s">
        <v>233</v>
      </c>
      <c r="H38" s="697"/>
      <c r="I38" s="672"/>
      <c r="J38" s="672"/>
      <c r="K38" s="674"/>
      <c r="L38" s="618"/>
      <c r="M38" s="619"/>
      <c r="N38" s="625"/>
      <c r="O38" s="621"/>
      <c r="P38" s="622"/>
      <c r="Q38" s="614"/>
      <c r="R38" s="622"/>
      <c r="U38" s="627"/>
    </row>
    <row r="39" spans="1:30">
      <c r="A39" s="387"/>
      <c r="B39" s="388"/>
      <c r="C39" s="389"/>
      <c r="D39" s="389"/>
      <c r="E39" s="390"/>
      <c r="F39" s="234"/>
      <c r="G39" s="391"/>
      <c r="H39" s="234"/>
      <c r="I39" s="227" t="s">
        <v>308</v>
      </c>
      <c r="J39" s="227">
        <f>SUM(J28:J38)</f>
        <v>0</v>
      </c>
      <c r="K39" s="228">
        <f>SUM(K28:K38)</f>
        <v>0</v>
      </c>
      <c r="L39" s="536"/>
      <c r="M39" s="473"/>
      <c r="N39" s="193"/>
      <c r="O39" s="154"/>
      <c r="P39" s="3"/>
      <c r="Q39" s="291"/>
      <c r="R39" s="3"/>
      <c r="S39" s="4"/>
      <c r="T39" s="4"/>
      <c r="U39" s="382"/>
      <c r="V39" s="4"/>
      <c r="W39" s="4"/>
      <c r="X39" s="4"/>
      <c r="Y39" s="4"/>
      <c r="Z39" s="4"/>
      <c r="AA39" s="4"/>
      <c r="AB39" s="4"/>
      <c r="AC39" s="4"/>
      <c r="AD39" s="4"/>
    </row>
    <row r="40" spans="1:30">
      <c r="A40" s="378"/>
      <c r="B40" s="379"/>
      <c r="C40" s="380"/>
      <c r="D40" s="380"/>
      <c r="E40" s="233"/>
      <c r="F40" s="236"/>
      <c r="G40" s="235"/>
      <c r="H40" s="236"/>
      <c r="I40" s="229" t="s">
        <v>309</v>
      </c>
      <c r="J40" s="229">
        <f>J39</f>
        <v>0</v>
      </c>
      <c r="K40" s="240" t="e">
        <f>J40/$J$127</f>
        <v>#DIV/0!</v>
      </c>
      <c r="L40" s="536"/>
      <c r="M40" s="473"/>
      <c r="N40" s="193"/>
      <c r="O40" s="154"/>
      <c r="P40" s="3"/>
      <c r="Q40" s="291"/>
      <c r="R40" s="3"/>
      <c r="S40" s="4"/>
      <c r="T40" s="4"/>
      <c r="U40" s="382"/>
      <c r="V40" s="4"/>
      <c r="W40" s="4"/>
      <c r="X40" s="4"/>
      <c r="Y40" s="4"/>
      <c r="Z40" s="4"/>
      <c r="AA40" s="4"/>
      <c r="AB40" s="4"/>
      <c r="AC40" s="4"/>
      <c r="AD40" s="4"/>
    </row>
    <row r="41" spans="1:30" ht="14.25">
      <c r="A41" s="357" t="s">
        <v>17</v>
      </c>
      <c r="B41" s="358"/>
      <c r="C41" s="359"/>
      <c r="D41" s="359" t="s">
        <v>323</v>
      </c>
      <c r="E41" s="359"/>
      <c r="F41" s="360"/>
      <c r="G41" s="361"/>
      <c r="H41" s="362"/>
      <c r="I41" s="362"/>
      <c r="J41" s="362"/>
      <c r="K41" s="363"/>
      <c r="L41" s="536"/>
      <c r="M41" s="473"/>
      <c r="N41" s="193"/>
      <c r="O41" s="154"/>
      <c r="P41" s="3"/>
      <c r="Q41" s="291"/>
      <c r="R41" s="3"/>
      <c r="S41" s="4"/>
      <c r="T41" s="4"/>
      <c r="U41" s="382"/>
      <c r="V41" s="4"/>
      <c r="W41" s="4"/>
      <c r="X41" s="4"/>
      <c r="Y41" s="4"/>
      <c r="Z41" s="4"/>
      <c r="AA41" s="4"/>
      <c r="AB41" s="4"/>
      <c r="AC41" s="4"/>
      <c r="AD41" s="4"/>
    </row>
    <row r="42" spans="1:30" s="615" customFormat="1" ht="25.5">
      <c r="A42" s="207" t="s">
        <v>214</v>
      </c>
      <c r="B42" s="207" t="s">
        <v>177</v>
      </c>
      <c r="C42" s="207" t="str">
        <f>COMPOSIÇÕES!A58</f>
        <v>CMP 05</v>
      </c>
      <c r="D42" s="608" t="str">
        <f>COMPOSIÇÕES!C58</f>
        <v>REFORÇO ESTRUTURAL PARA ESTRURAS SOFRENDO RECALQUE DIFERENCIAL (BLOCO+PILAR)</v>
      </c>
      <c r="E42" s="205" t="str">
        <f>COMPOSIÇÕES!G58</f>
        <v>UN</v>
      </c>
      <c r="F42" s="208">
        <f>'MEMÓRIA DE CÁLCULO'!H37</f>
        <v>2</v>
      </c>
      <c r="G42" s="209" t="s">
        <v>228</v>
      </c>
      <c r="H42" s="696"/>
      <c r="I42" s="208"/>
      <c r="J42" s="208"/>
      <c r="K42" s="210"/>
      <c r="L42" s="618"/>
      <c r="M42" s="619"/>
      <c r="N42" s="620"/>
      <c r="O42" s="621"/>
      <c r="P42" s="622"/>
      <c r="Q42" s="614"/>
      <c r="R42" s="622"/>
      <c r="S42" s="623"/>
      <c r="T42" s="623"/>
      <c r="U42" s="624"/>
      <c r="V42" s="623"/>
      <c r="W42" s="623"/>
      <c r="X42" s="623"/>
      <c r="Y42" s="623"/>
      <c r="Z42" s="623"/>
      <c r="AA42" s="623"/>
      <c r="AB42" s="623"/>
      <c r="AC42" s="623"/>
      <c r="AD42" s="623"/>
    </row>
    <row r="43" spans="1:30" ht="25.5">
      <c r="A43" s="157" t="s">
        <v>182</v>
      </c>
      <c r="B43" s="157" t="s">
        <v>49</v>
      </c>
      <c r="C43" s="157">
        <v>93183</v>
      </c>
      <c r="D43" s="607" t="str">
        <f>IFERROR(VLOOKUP(C43,[4]planilhanull!$G$7:$L$6879,2,FALSE),IFERROR(VLOOKUP(C43,[5]JANEIRO_21!$A$9:$E$1593,2,FALSE),IFERROR(VLOOKUP(C43,[6]sheet1!$A$8:$E$5245,2,FALSE),0)))</f>
        <v>VERGA PRÉ-MOLDADA PARA JANELAS COM MAIS DE 1,5 M DE VÃO. AF_03/2016</v>
      </c>
      <c r="E43" s="13" t="str">
        <f>IFERROR(VLOOKUP(C43,[4]planilhanull!$G$7:$L$6879,3,FALSE),IFERROR(VLOOKUP(C43,[5]JANEIRO_21!$A$9:$E$1593,2,FALSE),IFERROR(VLOOKUP(C43,[6]sheet1!$A$9:$E$5245,3,FALSE),0)))</f>
        <v>M</v>
      </c>
      <c r="F43" s="211">
        <f>'MEMÓRIA DE CÁLCULO'!H38</f>
        <v>10.8</v>
      </c>
      <c r="G43" s="212" t="s">
        <v>228</v>
      </c>
      <c r="H43" s="710"/>
      <c r="I43" s="211"/>
      <c r="J43" s="211"/>
      <c r="K43" s="213"/>
      <c r="L43" s="536"/>
      <c r="M43" s="473"/>
      <c r="N43" s="193"/>
      <c r="O43" s="154"/>
      <c r="P43" s="3"/>
      <c r="Q43" s="291"/>
      <c r="R43" s="3"/>
      <c r="S43" s="4"/>
      <c r="T43" s="4"/>
      <c r="U43" s="382"/>
      <c r="V43" s="4"/>
      <c r="W43" s="4"/>
      <c r="X43" s="4"/>
      <c r="Y43" s="4"/>
      <c r="Z43" s="4"/>
      <c r="AA43" s="4"/>
      <c r="AB43" s="4"/>
      <c r="AC43" s="4"/>
      <c r="AD43" s="4"/>
    </row>
    <row r="44" spans="1:30" ht="25.5">
      <c r="A44" s="157" t="s">
        <v>296</v>
      </c>
      <c r="B44" s="157" t="s">
        <v>49</v>
      </c>
      <c r="C44" s="157">
        <v>93185</v>
      </c>
      <c r="D44" s="607" t="str">
        <f>IFERROR(VLOOKUP(C44,[4]planilhanull!$G$7:$L$6879,2,FALSE),IFERROR(VLOOKUP(C44,[5]JANEIRO_21!$A$9:$E$1593,2,FALSE),IFERROR(VLOOKUP(C44,[6]sheet1!$A$8:$E$5245,2,FALSE),0)))</f>
        <v>VERGA PRÉ-MOLDADA PARA PORTAS COM MAIS DE 1,5 M DE VÃO. AF_03/2016</v>
      </c>
      <c r="E44" s="13" t="str">
        <f>IFERROR(VLOOKUP(C44,[4]planilhanull!$G$7:$L$6879,3,FALSE),IFERROR(VLOOKUP(C44,[5]JANEIRO_21!$A$9:$E$1593,2,FALSE),IFERROR(VLOOKUP(C44,[6]sheet1!$A$9:$E$5245,3,FALSE),0)))</f>
        <v>M</v>
      </c>
      <c r="F44" s="211">
        <f>'MEMÓRIA DE CÁLCULO'!H39</f>
        <v>7.2</v>
      </c>
      <c r="G44" s="212" t="s">
        <v>228</v>
      </c>
      <c r="H44" s="710"/>
      <c r="I44" s="211"/>
      <c r="J44" s="211"/>
      <c r="K44" s="213"/>
      <c r="L44" s="536"/>
      <c r="M44" s="473"/>
      <c r="N44" s="193"/>
      <c r="O44" s="154"/>
      <c r="P44" s="3"/>
      <c r="Q44" s="291"/>
      <c r="R44" s="3"/>
      <c r="S44" s="4"/>
      <c r="T44" s="4"/>
      <c r="U44" s="382"/>
      <c r="V44" s="4"/>
      <c r="W44" s="4"/>
      <c r="X44" s="4"/>
      <c r="Y44" s="4"/>
      <c r="Z44" s="4"/>
      <c r="AA44" s="4"/>
      <c r="AB44" s="4"/>
      <c r="AC44" s="4"/>
      <c r="AD44" s="4"/>
    </row>
    <row r="45" spans="1:30" ht="25.5">
      <c r="A45" s="668" t="s">
        <v>297</v>
      </c>
      <c r="B45" s="668" t="s">
        <v>49</v>
      </c>
      <c r="C45" s="668">
        <v>93195</v>
      </c>
      <c r="D45" s="670" t="str">
        <f>IFERROR(VLOOKUP(C45,[4]planilhanull!$G$7:$L$6879,2,FALSE),IFERROR(VLOOKUP(C45,[5]JANEIRO_21!$A$9:$E$1593,2,FALSE),IFERROR(VLOOKUP(C45,[6]sheet1!$A$8:$E$5245,2,FALSE),0)))</f>
        <v>CONTRAVERGA PRÉ-MOLDADA PARA VÃOS DE MAIS DE 1,5 M DE COMPRIMENTO. AF_03/2016</v>
      </c>
      <c r="E45" s="671" t="str">
        <f>IFERROR(VLOOKUP(C45,[4]planilhanull!$G$7:$L$6879,3,FALSE),IFERROR(VLOOKUP(C45,[5]JANEIRO_21!$A$9:$E$1593,2,FALSE),IFERROR(VLOOKUP(C45,[6]sheet1!$A$9:$E$5245,3,FALSE),0)))</f>
        <v>M</v>
      </c>
      <c r="F45" s="672">
        <f>'MEMÓRIA DE CÁLCULO'!H40</f>
        <v>10.8</v>
      </c>
      <c r="G45" s="673" t="s">
        <v>228</v>
      </c>
      <c r="H45" s="713"/>
      <c r="I45" s="672"/>
      <c r="J45" s="672"/>
      <c r="K45" s="674"/>
      <c r="L45" s="536"/>
      <c r="M45" s="473"/>
      <c r="N45" s="193"/>
      <c r="O45" s="154"/>
      <c r="P45" s="3"/>
      <c r="Q45" s="291"/>
      <c r="R45" s="3"/>
      <c r="S45" s="4"/>
      <c r="T45" s="4"/>
      <c r="U45" s="382"/>
      <c r="V45" s="4"/>
      <c r="W45" s="4"/>
      <c r="X45" s="4"/>
      <c r="Y45" s="4"/>
      <c r="Z45" s="4"/>
      <c r="AA45" s="4"/>
      <c r="AB45" s="4"/>
      <c r="AC45" s="4"/>
      <c r="AD45" s="4"/>
    </row>
    <row r="46" spans="1:30">
      <c r="A46" s="372"/>
      <c r="B46" s="373"/>
      <c r="C46" s="374"/>
      <c r="D46" s="374"/>
      <c r="E46" s="375"/>
      <c r="F46" s="376"/>
      <c r="G46" s="377"/>
      <c r="H46" s="376"/>
      <c r="I46" s="229" t="s">
        <v>310</v>
      </c>
      <c r="J46" s="229">
        <f>SUM(J42:J45)</f>
        <v>0</v>
      </c>
      <c r="K46" s="230">
        <f>SUM(K42:K45)</f>
        <v>0</v>
      </c>
      <c r="L46" s="536"/>
      <c r="M46" s="473"/>
      <c r="N46" s="193"/>
      <c r="O46" s="154"/>
      <c r="P46" s="3"/>
      <c r="Q46" s="291"/>
      <c r="R46" s="3"/>
      <c r="S46" s="4"/>
      <c r="T46" s="4"/>
      <c r="U46" s="382"/>
      <c r="V46" s="4"/>
      <c r="W46" s="4"/>
      <c r="X46" s="4"/>
      <c r="Y46" s="4"/>
      <c r="Z46" s="4"/>
      <c r="AA46" s="4"/>
      <c r="AB46" s="4"/>
      <c r="AC46" s="4"/>
      <c r="AD46" s="4"/>
    </row>
    <row r="47" spans="1:30">
      <c r="A47" s="378"/>
      <c r="B47" s="379"/>
      <c r="C47" s="380"/>
      <c r="D47" s="380"/>
      <c r="E47" s="233"/>
      <c r="F47" s="236"/>
      <c r="G47" s="235"/>
      <c r="H47" s="236"/>
      <c r="I47" s="229" t="s">
        <v>311</v>
      </c>
      <c r="J47" s="229">
        <f>J46</f>
        <v>0</v>
      </c>
      <c r="K47" s="240" t="e">
        <f>J47/$J$127</f>
        <v>#DIV/0!</v>
      </c>
      <c r="L47" s="536"/>
      <c r="M47" s="473"/>
      <c r="N47" s="193"/>
      <c r="O47" s="154"/>
      <c r="P47" s="3"/>
      <c r="Q47" s="291"/>
      <c r="R47" s="3"/>
      <c r="S47" s="4"/>
      <c r="T47" s="4"/>
      <c r="U47" s="382"/>
      <c r="V47" s="4"/>
      <c r="W47" s="4"/>
      <c r="X47" s="4"/>
      <c r="Y47" s="4"/>
      <c r="Z47" s="4"/>
      <c r="AA47" s="4"/>
      <c r="AB47" s="4"/>
      <c r="AC47" s="4"/>
      <c r="AD47" s="4"/>
    </row>
    <row r="48" spans="1:30" ht="14.25">
      <c r="A48" s="357" t="s">
        <v>298</v>
      </c>
      <c r="B48" s="358"/>
      <c r="C48" s="359"/>
      <c r="D48" s="359" t="s">
        <v>20</v>
      </c>
      <c r="E48" s="359"/>
      <c r="F48" s="360"/>
      <c r="G48" s="361"/>
      <c r="H48" s="362"/>
      <c r="I48" s="362"/>
      <c r="J48" s="362"/>
      <c r="K48" s="363"/>
      <c r="L48" s="536"/>
      <c r="M48" s="473"/>
      <c r="N48" s="193"/>
      <c r="O48" s="154"/>
      <c r="P48" s="3"/>
      <c r="Q48" s="291"/>
      <c r="R48" s="3"/>
      <c r="S48" s="4"/>
      <c r="T48" s="4"/>
      <c r="U48" s="382"/>
      <c r="V48" s="4"/>
      <c r="W48" s="4"/>
      <c r="X48" s="4"/>
      <c r="Y48" s="4"/>
      <c r="Z48" s="4"/>
      <c r="AA48" s="4"/>
      <c r="AB48" s="4"/>
      <c r="AC48" s="4"/>
      <c r="AD48" s="4"/>
    </row>
    <row r="49" spans="1:30" s="385" customFormat="1" ht="51">
      <c r="A49" s="207" t="s">
        <v>299</v>
      </c>
      <c r="B49" s="207" t="s">
        <v>49</v>
      </c>
      <c r="C49" s="207">
        <v>94210</v>
      </c>
      <c r="D49" s="608" t="str">
        <f>IFERROR(VLOOKUP(C49,[4]planilhanull!$G$7:$L$6879,2,FALSE),IFERROR(VLOOKUP(C49,[5]JANEIRO_21!$A$9:$E$1593,2,FALSE),IFERROR(VLOOKUP(C49,[6]sheet1!$A$8:$E$5245,2,FALSE),0)))</f>
        <v>TELHAMENTO COM TELHA ONDULADA DE FIBROCIMENTO E = 6 MM, COM RECOBRIMENTO LATERAL DE 1 1/4 DE ONDA PARA TELHADO COM INCLINAÇÃO MÁXIMA DE 10°, COM ATÉ 2 ÁGUAS, INCLUSO IÇAMENTO. AF_07/2019</v>
      </c>
      <c r="E49" s="205" t="str">
        <f>IFERROR(VLOOKUP(C49,[4]planilhanull!$G$7:$L$6879,3,FALSE),IFERROR(VLOOKUP(C49,[5]JANEIRO_21!$A$9:$E$1593,2,FALSE),IFERROR(VLOOKUP(C49,[6]sheet1!$A$9:$E$5245,3,FALSE),0)))</f>
        <v>M2</v>
      </c>
      <c r="F49" s="208">
        <f>'MEMÓRIA DE CÁLCULO'!H42</f>
        <v>807</v>
      </c>
      <c r="G49" s="209" t="s">
        <v>228</v>
      </c>
      <c r="H49" s="714"/>
      <c r="I49" s="208"/>
      <c r="J49" s="208"/>
      <c r="K49" s="210"/>
      <c r="L49" s="536"/>
      <c r="M49" s="472"/>
      <c r="N49" s="294"/>
      <c r="O49" s="295"/>
      <c r="P49" s="383"/>
      <c r="Q49" s="384"/>
      <c r="R49" s="383"/>
      <c r="U49" s="386"/>
    </row>
    <row r="50" spans="1:30" s="590" customFormat="1" ht="38.25">
      <c r="A50" s="157" t="s">
        <v>300</v>
      </c>
      <c r="B50" s="157" t="s">
        <v>49</v>
      </c>
      <c r="C50" s="157">
        <v>92580</v>
      </c>
      <c r="D50" s="607" t="str">
        <f>IFERROR(VLOOKUP(C50,[4]planilhanull!$G$7:$L$6879,2,FALSE),IFERROR(VLOOKUP(C50,[5]JANEIRO_21!$A$9:$E$1593,2,FALSE),IFERROR(VLOOKUP(C50,[6]sheet1!$A$8:$E$5245,2,FALSE),0)))</f>
        <v>TRAMA DE AÇO COMPOSTA POR TERÇAS PARA TELHADOS DE ATÉ 2 ÁGUAS PARA TELHA ONDULADA DE FIBROCIMENTO, METÁLICA, PLÁSTICA OU TERMOACÚSTICA, INCLUSO TRANSPORTE VERTICAL. AF_07/2019</v>
      </c>
      <c r="E50" s="13" t="str">
        <f>IFERROR(VLOOKUP(C50,[4]planilhanull!$G$7:$L$6879,3,FALSE),IFERROR(VLOOKUP(C50,[5]JANEIRO_21!$A$9:$E$1593,2,FALSE),IFERROR(VLOOKUP(C50,[6]sheet1!$A$9:$E$5245,3,FALSE),0)))</f>
        <v>M2</v>
      </c>
      <c r="F50" s="211">
        <f>'MEMÓRIA DE CÁLCULO'!H43</f>
        <v>807</v>
      </c>
      <c r="G50" s="212" t="s">
        <v>228</v>
      </c>
      <c r="H50" s="710"/>
      <c r="I50" s="211"/>
      <c r="J50" s="211"/>
      <c r="K50" s="213"/>
      <c r="L50" s="591"/>
      <c r="M50" s="592"/>
      <c r="N50" s="593"/>
      <c r="O50" s="594"/>
      <c r="P50" s="595"/>
      <c r="Q50" s="596"/>
      <c r="R50" s="595"/>
      <c r="U50" s="597"/>
    </row>
    <row r="51" spans="1:30" s="590" customFormat="1" ht="25.5" customHeight="1">
      <c r="A51" s="157" t="s">
        <v>301</v>
      </c>
      <c r="B51" s="157" t="s">
        <v>49</v>
      </c>
      <c r="C51" s="157">
        <v>92616</v>
      </c>
      <c r="D51" s="607" t="str">
        <f>IFERROR(VLOOKUP(C51,[4]planilhanull!$G$7:$L$6879,2,FALSE),IFERROR(VLOOKUP(C51,[5]JANEIRO_21!$A$9:$E$1593,2,FALSE),IFERROR(VLOOKUP(C51,[6]sheet1!$A$8:$E$5245,2,FALSE),0)))</f>
        <v>FABRICAÇÃO E INSTALAÇÃO DE TESOURA INTEIRA EM AÇO, VÃO DE 10 M, PARA TELHA ONDULADA DE FIBROCIMENTO, METÁLICA, PLÁSTICA OU TERMOACÚSTICA, INCLUSO IÇAMENTO. AF_12/2015</v>
      </c>
      <c r="E51" s="13" t="str">
        <f>IFERROR(VLOOKUP(C51,[4]planilhanull!$G$7:$L$6879,3,FALSE),IFERROR(VLOOKUP(C51,[5]JANEIRO_21!$A$9:$E$1593,2,FALSE),IFERROR(VLOOKUP(C51,[6]sheet1!$A$9:$E$5245,3,FALSE),0)))</f>
        <v>UN</v>
      </c>
      <c r="F51" s="211">
        <f>'MEMÓRIA DE CÁLCULO'!H44</f>
        <v>25</v>
      </c>
      <c r="G51" s="212" t="s">
        <v>228</v>
      </c>
      <c r="H51" s="710"/>
      <c r="I51" s="211"/>
      <c r="J51" s="211"/>
      <c r="K51" s="213"/>
      <c r="L51" s="591"/>
      <c r="M51" s="592"/>
      <c r="N51" s="593"/>
      <c r="O51" s="594"/>
      <c r="P51" s="595"/>
      <c r="Q51" s="596"/>
      <c r="R51" s="595"/>
      <c r="U51" s="597"/>
    </row>
    <row r="52" spans="1:30" s="590" customFormat="1" ht="25.5" customHeight="1">
      <c r="A52" s="157" t="s">
        <v>302</v>
      </c>
      <c r="B52" s="157" t="s">
        <v>49</v>
      </c>
      <c r="C52" s="157">
        <v>94231</v>
      </c>
      <c r="D52" s="607" t="str">
        <f>IFERROR(VLOOKUP(C52,[4]planilhanull!$G$7:$L$6879,2,FALSE),IFERROR(VLOOKUP(C52,[5]JANEIRO_21!$A$9:$E$1593,2,FALSE),IFERROR(VLOOKUP(C52,[6]sheet1!$A$8:$E$5245,2,FALSE),0)))</f>
        <v>RUFO EM CHAPA DE AÇO GALVANIZADO NÚMERO 24, CORTE DE 25 CM, INCLUSO TRANSPORTE VERTICAL. AF_07/2019</v>
      </c>
      <c r="E52" s="13" t="str">
        <f>IFERROR(VLOOKUP(C52,[4]planilhanull!$G$7:$L$6879,3,FALSE),IFERROR(VLOOKUP(C52,[5]JANEIRO_21!$A$9:$E$1593,2,FALSE),IFERROR(VLOOKUP(C52,[6]sheet1!$A$9:$E$5245,3,FALSE),0)))</f>
        <v>M</v>
      </c>
      <c r="F52" s="211">
        <f>'MEMÓRIA DE CÁLCULO'!H45</f>
        <v>89.41</v>
      </c>
      <c r="G52" s="212" t="s">
        <v>228</v>
      </c>
      <c r="H52" s="710"/>
      <c r="I52" s="211"/>
      <c r="J52" s="211"/>
      <c r="K52" s="213"/>
      <c r="L52" s="591"/>
      <c r="M52" s="592"/>
      <c r="N52" s="593"/>
      <c r="O52" s="594"/>
      <c r="P52" s="595"/>
      <c r="Q52" s="596"/>
      <c r="R52" s="595"/>
      <c r="U52" s="597"/>
    </row>
    <row r="53" spans="1:30" s="590" customFormat="1" ht="25.5" customHeight="1">
      <c r="A53" s="157" t="s">
        <v>346</v>
      </c>
      <c r="B53" s="157" t="s">
        <v>49</v>
      </c>
      <c r="C53" s="157">
        <v>101979</v>
      </c>
      <c r="D53" s="607" t="str">
        <f>IFERROR(VLOOKUP(C53,[4]planilhanull!$G$7:$L$6879,2,FALSE),IFERROR(VLOOKUP(C53,[5]JANEIRO_21!$A$9:$E$1593,2,FALSE),IFERROR(VLOOKUP(C53,[6]sheet1!$A$8:$E$5245,2,FALSE),0)))</f>
        <v>CHAPIM (RUFO CAPA) EM AÇO GALVANIZADO, CORTE 33. AF_11/2020</v>
      </c>
      <c r="E53" s="13" t="str">
        <f>IFERROR(VLOOKUP(C53,[4]planilhanull!$G$7:$L$6879,3,FALSE),IFERROR(VLOOKUP(C53,[5]JANEIRO_21!$A$9:$E$1593,2,FALSE),IFERROR(VLOOKUP(C53,[6]sheet1!$A$9:$E$5245,3,FALSE),0)))</f>
        <v>M</v>
      </c>
      <c r="F53" s="211">
        <f>'MEMÓRIA DE CÁLCULO'!H46</f>
        <v>58.55</v>
      </c>
      <c r="G53" s="212" t="s">
        <v>228</v>
      </c>
      <c r="H53" s="710"/>
      <c r="I53" s="211"/>
      <c r="J53" s="211"/>
      <c r="K53" s="213"/>
      <c r="L53" s="591"/>
      <c r="M53" s="592"/>
      <c r="N53" s="593"/>
      <c r="O53" s="594"/>
      <c r="P53" s="595"/>
      <c r="Q53" s="596"/>
      <c r="R53" s="595"/>
      <c r="U53" s="597"/>
    </row>
    <row r="54" spans="1:30" s="590" customFormat="1" ht="25.5" customHeight="1">
      <c r="A54" s="668" t="s">
        <v>347</v>
      </c>
      <c r="B54" s="668" t="s">
        <v>49</v>
      </c>
      <c r="C54" s="668">
        <v>94227</v>
      </c>
      <c r="D54" s="670" t="str">
        <f>IFERROR(VLOOKUP(C54,[4]planilhanull!$G$7:$L$6879,2,FALSE),IFERROR(VLOOKUP(C54,[5]JANEIRO_21!$A$9:$E$1593,2,FALSE),IFERROR(VLOOKUP(C54,[6]sheet1!$A$8:$E$5245,2,FALSE),0)))</f>
        <v>CALHA EM CHAPA DE AÇO GALVANIZADO NÚMERO 24, DESENVOLVIMENTO DE 33 CM, INCLUSO TRANSPORTE VERTICAL. AF_07/2019</v>
      </c>
      <c r="E54" s="671" t="str">
        <f>IFERROR(VLOOKUP(C54,[4]planilhanull!$G$7:$L$6879,3,FALSE),IFERROR(VLOOKUP(C54,[5]JANEIRO_21!$A$9:$E$1593,2,FALSE),IFERROR(VLOOKUP(C54,[6]sheet1!$A$9:$E$5245,3,FALSE),0)))</f>
        <v>M</v>
      </c>
      <c r="F54" s="672">
        <f>'MEMÓRIA DE CÁLCULO'!H47</f>
        <v>79.760000000000005</v>
      </c>
      <c r="G54" s="673" t="s">
        <v>228</v>
      </c>
      <c r="H54" s="713"/>
      <c r="I54" s="672"/>
      <c r="J54" s="672"/>
      <c r="K54" s="674"/>
      <c r="L54" s="591"/>
      <c r="M54" s="592"/>
      <c r="N54" s="593"/>
      <c r="O54" s="594"/>
      <c r="P54" s="595"/>
      <c r="Q54" s="596"/>
      <c r="R54" s="595"/>
      <c r="U54" s="597"/>
    </row>
    <row r="55" spans="1:30" s="385" customFormat="1">
      <c r="A55" s="372"/>
      <c r="B55" s="373"/>
      <c r="C55" s="374"/>
      <c r="D55" s="374"/>
      <c r="E55" s="375"/>
      <c r="F55" s="376"/>
      <c r="G55" s="377"/>
      <c r="H55" s="376"/>
      <c r="I55" s="229" t="s">
        <v>312</v>
      </c>
      <c r="J55" s="229">
        <f>SUM(J49:J54)</f>
        <v>0</v>
      </c>
      <c r="K55" s="230">
        <f>SUM(K49:K54)</f>
        <v>0</v>
      </c>
      <c r="L55" s="536"/>
      <c r="M55" s="472"/>
      <c r="N55" s="294"/>
      <c r="O55" s="295"/>
      <c r="P55" s="383"/>
      <c r="Q55" s="384"/>
      <c r="R55" s="383"/>
      <c r="U55" s="386"/>
    </row>
    <row r="56" spans="1:30" s="385" customFormat="1">
      <c r="A56" s="378"/>
      <c r="B56" s="379"/>
      <c r="C56" s="380"/>
      <c r="D56" s="380"/>
      <c r="E56" s="233"/>
      <c r="F56" s="236"/>
      <c r="G56" s="235"/>
      <c r="H56" s="236"/>
      <c r="I56" s="229" t="s">
        <v>313</v>
      </c>
      <c r="J56" s="229">
        <f>J55</f>
        <v>0</v>
      </c>
      <c r="K56" s="240" t="e">
        <f>J56/$J$127</f>
        <v>#DIV/0!</v>
      </c>
      <c r="L56" s="536"/>
      <c r="M56" s="472"/>
      <c r="N56" s="294"/>
      <c r="O56" s="295"/>
      <c r="P56" s="383"/>
      <c r="Q56" s="384"/>
      <c r="R56" s="383"/>
      <c r="U56" s="386"/>
    </row>
    <row r="57" spans="1:30" ht="14.25">
      <c r="A57" s="231" t="s">
        <v>303</v>
      </c>
      <c r="B57" s="232"/>
      <c r="C57" s="232"/>
      <c r="D57" s="286" t="s">
        <v>21</v>
      </c>
      <c r="E57" s="287"/>
      <c r="F57" s="288"/>
      <c r="G57" s="289"/>
      <c r="H57" s="288"/>
      <c r="I57" s="288"/>
      <c r="J57" s="288"/>
      <c r="K57" s="290"/>
      <c r="L57" s="536"/>
      <c r="M57" s="473"/>
      <c r="N57" s="193"/>
      <c r="O57" s="154"/>
      <c r="P57" s="3"/>
      <c r="Q57" s="291"/>
      <c r="R57" s="3"/>
      <c r="S57" s="4"/>
      <c r="T57" s="4"/>
      <c r="U57" s="382"/>
      <c r="V57" s="4"/>
      <c r="W57" s="4"/>
      <c r="X57" s="4"/>
      <c r="Y57" s="4"/>
      <c r="Z57" s="4"/>
      <c r="AA57" s="4"/>
      <c r="AB57" s="4"/>
      <c r="AC57" s="4"/>
      <c r="AD57" s="4"/>
    </row>
    <row r="58" spans="1:30" ht="38.25">
      <c r="A58" s="207" t="s">
        <v>304</v>
      </c>
      <c r="B58" s="207" t="s">
        <v>49</v>
      </c>
      <c r="C58" s="207">
        <v>87878</v>
      </c>
      <c r="D58" s="608" t="str">
        <f>IFERROR(VLOOKUP(C58,[4]planilhanull!$G$7:$L$6879,2,FALSE),IFERROR(VLOOKUP(C58,[5]JANEIRO_21!$A$9:$E$1593,2,FALSE),IFERROR(VLOOKUP(C58,[6]sheet1!$A$8:$E$5245,2,FALSE),0)))</f>
        <v>CHAPISCO APLICADO EM ALVENARIAS E ESTRUTURAS DE CONCRETO INTERNAS, COM COLHER DE PEDREIRO.  ARGAMASSA TRAÇO 1:3 COM PREPARO MANUAL. AF_06/2014</v>
      </c>
      <c r="E58" s="205" t="str">
        <f>IFERROR(VLOOKUP(C58,[4]planilhanull!$G$7:$L$6879,3,FALSE),IFERROR(VLOOKUP(C58,[5]JANEIRO_21!$A$9:$E$1593,2,FALSE),IFERROR(VLOOKUP(C58,[6]sheet1!$A$9:$E$5245,3,FALSE),0)))</f>
        <v>M2</v>
      </c>
      <c r="F58" s="208">
        <f>'MEMÓRIA DE CÁLCULO'!H49</f>
        <v>34.11</v>
      </c>
      <c r="G58" s="209" t="s">
        <v>229</v>
      </c>
      <c r="H58" s="714"/>
      <c r="I58" s="208"/>
      <c r="J58" s="208"/>
      <c r="K58" s="210"/>
      <c r="L58" s="536"/>
      <c r="M58" s="473"/>
      <c r="N58" s="193"/>
      <c r="O58" s="154"/>
      <c r="P58" s="3"/>
      <c r="Q58" s="291"/>
      <c r="R58" s="3"/>
      <c r="S58" s="4"/>
      <c r="T58" s="4"/>
      <c r="U58" s="382"/>
      <c r="V58" s="4"/>
      <c r="W58" s="4"/>
      <c r="X58" s="4"/>
      <c r="Y58" s="4"/>
      <c r="Z58" s="4"/>
      <c r="AA58" s="4"/>
      <c r="AB58" s="4"/>
      <c r="AC58" s="4"/>
      <c r="AD58" s="4"/>
    </row>
    <row r="59" spans="1:30" s="370" customFormat="1" ht="51">
      <c r="A59" s="157" t="s">
        <v>329</v>
      </c>
      <c r="B59" s="157" t="s">
        <v>49</v>
      </c>
      <c r="C59" s="157">
        <v>89173</v>
      </c>
      <c r="D59" s="607" t="str">
        <f>IFERROR(VLOOKUP(C59,[4]planilhanull!$G$7:$L$6879,2,FALSE),IFERROR(VLOOKUP(C59,[5]JANEIRO_21!$A$9:$E$1593,2,FALSE),IFERROR(VLOOKUP(C59,[6]sheet1!$A$8:$E$5245,2,FALSE),0)))</f>
        <v>(COMPOSIÇÃO REPRESENTATIVA) DO SERVIÇO DE EMBOÇO/MASSA ÚNICA, APLICADO MANUALMENTE, TRAÇO 1:2:8, EM BETONEIRA DE 400L, PAREDES INTERNAS, COM EXECUÇÃO DE TALISCAS, EDIFICAÇÃO HABITACIONAL UNIFAMILIAR (CASAS) E EDIFICAÇÃO PÚBLICA PADRÃO. AF_12/2014</v>
      </c>
      <c r="E59" s="13" t="str">
        <f>IFERROR(VLOOKUP(C59,[4]planilhanull!$G$7:$L$6879,3,FALSE),IFERROR(VLOOKUP(C59,[5]JANEIRO_21!$A$9:$E$1593,2,FALSE),IFERROR(VLOOKUP(C59,[6]sheet1!$A$9:$E$5245,3,FALSE),0)))</f>
        <v>M2</v>
      </c>
      <c r="F59" s="211">
        <f>'MEMÓRIA DE CÁLCULO'!H50</f>
        <v>318.36</v>
      </c>
      <c r="G59" s="212" t="s">
        <v>229</v>
      </c>
      <c r="H59" s="710"/>
      <c r="I59" s="211"/>
      <c r="J59" s="211"/>
      <c r="K59" s="213"/>
      <c r="L59" s="536"/>
      <c r="M59" s="474"/>
      <c r="N59" s="284"/>
      <c r="O59" s="285"/>
      <c r="P59" s="392"/>
      <c r="Q59" s="393"/>
      <c r="R59" s="392"/>
    </row>
    <row r="60" spans="1:30" s="370" customFormat="1" ht="38.25">
      <c r="A60" s="157" t="s">
        <v>330</v>
      </c>
      <c r="B60" s="157" t="s">
        <v>49</v>
      </c>
      <c r="C60" s="157">
        <v>87275</v>
      </c>
      <c r="D60" s="607" t="str">
        <f>IFERROR(VLOOKUP(C60,[4]planilhanull!$G$7:$L$6879,2,FALSE),IFERROR(VLOOKUP(C60,[5]JANEIRO_21!$A$9:$E$1593,2,FALSE),IFERROR(VLOOKUP(C60,[6]sheet1!$A$8:$E$5245,2,FALSE),0)))</f>
        <v>REVESTIMENTO CERÂMICO PARA PAREDES INTERNAS COM PLACAS TIPO ESMALTADA EXTRA  DE DIMENSÕES 33X45 CM APLICADAS EM AMBIENTES DE ÁREA MAIOR QUE 5 M² A MEIA ALTURA DAS PAREDES. AF_06/2014</v>
      </c>
      <c r="E60" s="13" t="str">
        <f>IFERROR(VLOOKUP(C60,[4]planilhanull!$G$7:$L$6879,3,FALSE),IFERROR(VLOOKUP(C60,[5]JANEIRO_21!$A$9:$E$1593,2,FALSE),IFERROR(VLOOKUP(C60,[6]sheet1!$A$9:$E$5245,3,FALSE),0)))</f>
        <v>M2</v>
      </c>
      <c r="F60" s="211">
        <f>'MEMÓRIA DE CÁLCULO'!H51</f>
        <v>204.66</v>
      </c>
      <c r="G60" s="212" t="s">
        <v>229</v>
      </c>
      <c r="H60" s="710"/>
      <c r="I60" s="211"/>
      <c r="J60" s="211"/>
      <c r="K60" s="213"/>
      <c r="L60" s="536"/>
      <c r="M60" s="474"/>
      <c r="N60" s="284"/>
      <c r="O60" s="285"/>
      <c r="P60" s="392"/>
      <c r="Q60" s="393"/>
      <c r="R60" s="392"/>
    </row>
    <row r="61" spans="1:30" s="370" customFormat="1" ht="38.25">
      <c r="A61" s="157" t="s">
        <v>331</v>
      </c>
      <c r="B61" s="157" t="s">
        <v>49</v>
      </c>
      <c r="C61" s="157">
        <v>98561</v>
      </c>
      <c r="D61" s="607" t="str">
        <f>IFERROR(VLOOKUP(C61,[4]planilhanull!$G$7:$L$6879,2,FALSE),IFERROR(VLOOKUP(C61,[5]JANEIRO_21!$A$9:$E$1593,2,FALSE),IFERROR(VLOOKUP(C61,[6]sheet1!$A$8:$E$5245,2,FALSE),0)))</f>
        <v>IMPERMEABILIZAÇÃO DE PAREDES COM ARGAMASSA DE CIMENTO E AREIA, COM ADITIVO IMPERMEABILIZANTE, E = 2CM. AF_06/2018</v>
      </c>
      <c r="E61" s="13" t="str">
        <f>IFERROR(VLOOKUP(C61,[4]planilhanull!$G$7:$L$6879,3,FALSE),IFERROR(VLOOKUP(C61,[5]JANEIRO_21!$A$9:$E$1593,2,FALSE),IFERROR(VLOOKUP(C61,[6]sheet1!$A$9:$E$5245,3,FALSE),0)))</f>
        <v>M2</v>
      </c>
      <c r="F61" s="211">
        <f>'MEMÓRIA DE CÁLCULO'!H52</f>
        <v>583.70000000000005</v>
      </c>
      <c r="G61" s="212" t="s">
        <v>229</v>
      </c>
      <c r="H61" s="710"/>
      <c r="I61" s="211"/>
      <c r="J61" s="211"/>
      <c r="K61" s="213"/>
      <c r="L61" s="536"/>
      <c r="M61" s="474"/>
      <c r="N61" s="284"/>
      <c r="O61" s="285"/>
      <c r="P61" s="392"/>
      <c r="Q61" s="393"/>
      <c r="R61" s="392"/>
    </row>
    <row r="62" spans="1:30" s="370" customFormat="1" ht="38.25">
      <c r="A62" s="157" t="s">
        <v>332</v>
      </c>
      <c r="B62" s="157" t="s">
        <v>49</v>
      </c>
      <c r="C62" s="157">
        <v>96486</v>
      </c>
      <c r="D62" s="607" t="str">
        <f>IFERROR(VLOOKUP(C62,[4]planilhanull!$G$7:$L$6879,2,FALSE),IFERROR(VLOOKUP(C62,[5]JANEIRO_21!$A$9:$E$1593,2,FALSE),IFERROR(VLOOKUP(C62,[6]sheet1!$A$8:$E$5245,2,FALSE),0)))</f>
        <v>FORRO DE PVC, LISO, PARA AMBIENTES COMERCIAIS, INCLUSIVE ESTRUTURA DE FIXAÇÃO. AF_05/2017_P</v>
      </c>
      <c r="E62" s="13" t="str">
        <f>IFERROR(VLOOKUP(C62,[4]planilhanull!$G$7:$L$6879,3,FALSE),IFERROR(VLOOKUP(C62,[5]JANEIRO_21!$A$9:$E$1593,2,FALSE),IFERROR(VLOOKUP(C62,[6]sheet1!$A$9:$E$5245,3,FALSE),0)))</f>
        <v>M2</v>
      </c>
      <c r="F62" s="211">
        <f>'MEMÓRIA DE CÁLCULO'!H53</f>
        <v>396.6</v>
      </c>
      <c r="G62" s="212" t="s">
        <v>229</v>
      </c>
      <c r="H62" s="710"/>
      <c r="I62" s="211"/>
      <c r="J62" s="211"/>
      <c r="K62" s="213"/>
      <c r="L62" s="536"/>
      <c r="M62" s="474"/>
      <c r="N62" s="284"/>
      <c r="O62" s="285"/>
      <c r="P62" s="392"/>
      <c r="Q62" s="393"/>
      <c r="R62" s="392"/>
    </row>
    <row r="63" spans="1:30" s="370" customFormat="1" ht="38.25">
      <c r="A63" s="668" t="s">
        <v>396</v>
      </c>
      <c r="B63" s="668" t="s">
        <v>49</v>
      </c>
      <c r="C63" s="668">
        <v>96121</v>
      </c>
      <c r="D63" s="670" t="str">
        <f>IFERROR(VLOOKUP(C63,[4]planilhanull!$G$7:$L$6879,2,FALSE),IFERROR(VLOOKUP(C63,[5]JANEIRO_21!$A$9:$E$1593,2,FALSE),IFERROR(VLOOKUP(C63,[6]sheet1!$A$8:$E$5245,2,FALSE),0)))</f>
        <v>ACABAMENTOS PARA FORRO (RODA-FORRO EM PERFIL METÁLICO E PLÁSTICO). AF_05/2017</v>
      </c>
      <c r="E63" s="671" t="str">
        <f>IFERROR(VLOOKUP(C63,[4]planilhanull!$G$7:$L$6879,3,FALSE),IFERROR(VLOOKUP(C63,[5]JANEIRO_21!$A$9:$E$1593,2,FALSE),IFERROR(VLOOKUP(C63,[6]sheet1!$A$9:$E$5245,3,FALSE),0)))</f>
        <v>M</v>
      </c>
      <c r="F63" s="672">
        <f>'MEMÓRIA DE CÁLCULO'!H54</f>
        <v>357.91</v>
      </c>
      <c r="G63" s="673" t="s">
        <v>229</v>
      </c>
      <c r="H63" s="713"/>
      <c r="I63" s="672"/>
      <c r="J63" s="672"/>
      <c r="K63" s="674"/>
      <c r="L63" s="536"/>
      <c r="M63" s="474"/>
      <c r="N63" s="284"/>
      <c r="O63" s="285"/>
      <c r="P63" s="392"/>
      <c r="Q63" s="393"/>
      <c r="R63" s="392"/>
    </row>
    <row r="64" spans="1:30" s="370" customFormat="1">
      <c r="A64" s="372"/>
      <c r="B64" s="373"/>
      <c r="C64" s="374"/>
      <c r="D64" s="374"/>
      <c r="E64" s="375"/>
      <c r="F64" s="376"/>
      <c r="G64" s="377"/>
      <c r="H64" s="376"/>
      <c r="I64" s="229" t="s">
        <v>314</v>
      </c>
      <c r="J64" s="229">
        <f>SUM(J58:J63)</f>
        <v>0</v>
      </c>
      <c r="K64" s="230">
        <f>SUM(K58:K63)</f>
        <v>0</v>
      </c>
      <c r="L64" s="536"/>
      <c r="M64" s="474"/>
      <c r="N64" s="284"/>
      <c r="O64" s="285"/>
      <c r="P64" s="392"/>
      <c r="Q64" s="393"/>
      <c r="R64" s="392"/>
    </row>
    <row r="65" spans="1:30" s="370" customFormat="1">
      <c r="A65" s="378"/>
      <c r="B65" s="379"/>
      <c r="C65" s="380"/>
      <c r="D65" s="380"/>
      <c r="E65" s="233"/>
      <c r="F65" s="236"/>
      <c r="G65" s="235"/>
      <c r="H65" s="236"/>
      <c r="I65" s="229" t="s">
        <v>315</v>
      </c>
      <c r="J65" s="229">
        <f>J64</f>
        <v>0</v>
      </c>
      <c r="K65" s="240" t="e">
        <f>J65/$J$127</f>
        <v>#DIV/0!</v>
      </c>
      <c r="L65" s="536"/>
      <c r="M65" s="474"/>
      <c r="N65" s="284"/>
      <c r="O65" s="285"/>
      <c r="P65" s="392"/>
      <c r="Q65" s="393"/>
      <c r="R65" s="392"/>
      <c r="U65" s="394"/>
    </row>
    <row r="66" spans="1:30" ht="14.25">
      <c r="A66" s="231" t="s">
        <v>43</v>
      </c>
      <c r="B66" s="232"/>
      <c r="C66" s="232"/>
      <c r="D66" s="286" t="s">
        <v>22</v>
      </c>
      <c r="E66" s="287"/>
      <c r="F66" s="288"/>
      <c r="G66" s="289"/>
      <c r="H66" s="288"/>
      <c r="I66" s="288"/>
      <c r="J66" s="288"/>
      <c r="K66" s="290"/>
      <c r="L66" s="536"/>
      <c r="M66" s="473"/>
      <c r="N66" s="193"/>
      <c r="O66" s="154"/>
      <c r="P66" s="3"/>
      <c r="Q66" s="291"/>
      <c r="R66" s="3"/>
      <c r="S66" s="4"/>
      <c r="T66" s="4"/>
      <c r="U66" s="4"/>
      <c r="V66" s="4"/>
      <c r="W66" s="4"/>
      <c r="X66" s="4"/>
      <c r="Y66" s="4"/>
      <c r="Z66" s="4"/>
      <c r="AA66" s="4"/>
      <c r="AB66" s="4"/>
      <c r="AC66" s="4"/>
      <c r="AD66" s="4"/>
    </row>
    <row r="67" spans="1:30" ht="25.5">
      <c r="A67" s="207" t="s">
        <v>253</v>
      </c>
      <c r="B67" s="207" t="s">
        <v>173</v>
      </c>
      <c r="C67" s="207">
        <v>1101002010</v>
      </c>
      <c r="D67" s="608" t="str">
        <f>IFERROR(VLOOKUP(C67,[4]planilhanull!$G$7:$L$6879,2,FALSE),IFERROR(VLOOKUP(C67,[5]JANEIRO_21!$A$9:$E$1593,2,FALSE),IFERROR(VLOOKUP(C67,[6]sheet1!$A$8:$E$5245,2,FALSE),0)))</f>
        <v>PORTA EM CHAPA VINCADA - 1 FOLHA, INCLUSIVE ACABAMENTO E FERRAGENS - ANEXO A-045 (ESQ.) /M2</v>
      </c>
      <c r="E67" s="205" t="s">
        <v>11</v>
      </c>
      <c r="F67" s="208">
        <f>'MEMÓRIA DE CÁLCULO'!H56</f>
        <v>30.72</v>
      </c>
      <c r="G67" s="209" t="s">
        <v>218</v>
      </c>
      <c r="H67" s="714"/>
      <c r="I67" s="208"/>
      <c r="J67" s="208"/>
      <c r="K67" s="210"/>
      <c r="L67" s="536"/>
      <c r="M67" s="473"/>
      <c r="N67" s="193"/>
      <c r="O67" s="154"/>
      <c r="P67" s="3"/>
      <c r="Q67" s="291"/>
      <c r="R67" s="3"/>
      <c r="S67" s="4"/>
      <c r="T67" s="4"/>
      <c r="U67" s="382"/>
      <c r="V67" s="4"/>
      <c r="W67" s="4"/>
      <c r="X67" s="4"/>
      <c r="Y67" s="4"/>
      <c r="Z67" s="4"/>
      <c r="AA67" s="4"/>
      <c r="AB67" s="4"/>
      <c r="AC67" s="4"/>
      <c r="AD67" s="4"/>
    </row>
    <row r="68" spans="1:30" ht="38.25">
      <c r="A68" s="668" t="s">
        <v>217</v>
      </c>
      <c r="B68" s="668" t="s">
        <v>49</v>
      </c>
      <c r="C68" s="668">
        <v>94562</v>
      </c>
      <c r="D68" s="670" t="str">
        <f>IFERROR(VLOOKUP(C68,[4]planilhanull!$G$7:$L$6879,2,FALSE),IFERROR(VLOOKUP(C68,[5]JANEIRO_21!$A$9:$E$1593,2,FALSE),IFERROR(VLOOKUP(C68,[6]sheet1!$A$8:$E$5245,2,FALSE),0)))</f>
        <v>JANELA DE AÇO DE CORRER COM 4 FOLHAS PARA VIDRO, COM BATENTE, FERRAGENS E PINTURA ANTICORROSIVA. EXCLUSIVE VIDROS, ALIZAR E CONTRAMARCO. FORNECIMENTO E INSTALAÇÃO. AF_12/2019</v>
      </c>
      <c r="E68" s="671" t="str">
        <f>IFERROR(VLOOKUP(C68,[4]planilhanull!$G$7:$L$6879,3,FALSE),IFERROR(VLOOKUP(C68,[5]JANEIRO_21!$A$9:$E$1593,2,FALSE),IFERROR(VLOOKUP(C68,[6]sheet1!$A$9:$E$5245,3,FALSE),0)))</f>
        <v>M2</v>
      </c>
      <c r="F68" s="672">
        <f>'MEMÓRIA DE CÁLCULO'!H57</f>
        <v>12</v>
      </c>
      <c r="G68" s="673" t="s">
        <v>218</v>
      </c>
      <c r="H68" s="713"/>
      <c r="I68" s="672"/>
      <c r="J68" s="672"/>
      <c r="K68" s="674"/>
      <c r="L68" s="536"/>
      <c r="M68" s="473"/>
      <c r="N68" s="193"/>
      <c r="O68" s="154"/>
      <c r="P68" s="3"/>
      <c r="Q68" s="291"/>
      <c r="R68" s="3"/>
      <c r="S68" s="4"/>
      <c r="T68" s="4"/>
      <c r="U68" s="382"/>
      <c r="V68" s="4"/>
      <c r="W68" s="4"/>
      <c r="X68" s="4"/>
      <c r="Y68" s="4"/>
      <c r="Z68" s="4"/>
      <c r="AA68" s="4"/>
      <c r="AB68" s="4"/>
      <c r="AC68" s="4"/>
      <c r="AD68" s="4"/>
    </row>
    <row r="69" spans="1:30" s="370" customFormat="1">
      <c r="A69" s="387"/>
      <c r="B69" s="388"/>
      <c r="C69" s="389"/>
      <c r="D69" s="389"/>
      <c r="E69" s="390"/>
      <c r="F69" s="234"/>
      <c r="G69" s="391"/>
      <c r="H69" s="234"/>
      <c r="I69" s="227" t="s">
        <v>219</v>
      </c>
      <c r="J69" s="227">
        <f>SUM(J67:J68)</f>
        <v>0</v>
      </c>
      <c r="K69" s="228">
        <f>SUM(K67:K68)</f>
        <v>0</v>
      </c>
      <c r="L69" s="543"/>
      <c r="M69" s="533"/>
      <c r="N69" s="284"/>
      <c r="O69" s="285"/>
      <c r="P69" s="392"/>
      <c r="Q69" s="393"/>
      <c r="R69" s="392"/>
    </row>
    <row r="70" spans="1:30" s="370" customFormat="1">
      <c r="A70" s="378"/>
      <c r="B70" s="379"/>
      <c r="C70" s="380"/>
      <c r="D70" s="380"/>
      <c r="E70" s="233"/>
      <c r="F70" s="236"/>
      <c r="G70" s="235"/>
      <c r="H70" s="236"/>
      <c r="I70" s="229" t="s">
        <v>242</v>
      </c>
      <c r="J70" s="229">
        <f>J69</f>
        <v>0</v>
      </c>
      <c r="K70" s="240" t="e">
        <f>J70/$J$127</f>
        <v>#DIV/0!</v>
      </c>
      <c r="L70" s="543"/>
      <c r="M70" s="533"/>
      <c r="N70" s="284"/>
      <c r="O70" s="285"/>
      <c r="P70" s="392"/>
      <c r="Q70" s="393"/>
      <c r="R70" s="392"/>
    </row>
    <row r="71" spans="1:30" ht="14.25">
      <c r="A71" s="501" t="s">
        <v>44</v>
      </c>
      <c r="B71" s="502"/>
      <c r="C71" s="502"/>
      <c r="D71" s="503" t="s">
        <v>259</v>
      </c>
      <c r="E71" s="504"/>
      <c r="F71" s="505"/>
      <c r="G71" s="506"/>
      <c r="H71" s="505"/>
      <c r="I71" s="505"/>
      <c r="J71" s="505"/>
      <c r="K71" s="507"/>
      <c r="L71" s="536"/>
      <c r="M71" s="471"/>
      <c r="N71" s="200"/>
      <c r="O71" s="155"/>
      <c r="P71" s="3"/>
      <c r="Q71" s="395"/>
      <c r="R71" s="3"/>
      <c r="S71" s="4"/>
      <c r="T71" s="4"/>
      <c r="U71" s="292"/>
      <c r="V71" s="4"/>
      <c r="W71" s="4"/>
      <c r="X71" s="4"/>
      <c r="Y71" s="4"/>
      <c r="Z71" s="4"/>
      <c r="AA71" s="4"/>
      <c r="AB71" s="4"/>
      <c r="AC71" s="4"/>
      <c r="AD71" s="4"/>
    </row>
    <row r="72" spans="1:30" ht="14.25">
      <c r="A72" s="501" t="s">
        <v>236</v>
      </c>
      <c r="B72" s="502"/>
      <c r="C72" s="502"/>
      <c r="D72" s="503" t="s">
        <v>305</v>
      </c>
      <c r="E72" s="504"/>
      <c r="F72" s="505"/>
      <c r="G72" s="506"/>
      <c r="H72" s="505"/>
      <c r="I72" s="505"/>
      <c r="J72" s="505"/>
      <c r="K72" s="507"/>
      <c r="L72" s="536"/>
      <c r="M72" s="471"/>
      <c r="N72" s="200"/>
      <c r="O72" s="155"/>
      <c r="P72" s="3"/>
      <c r="Q72" s="395"/>
      <c r="R72" s="3"/>
      <c r="S72" s="4"/>
      <c r="T72" s="4"/>
      <c r="U72" s="292"/>
      <c r="V72" s="4"/>
      <c r="W72" s="4"/>
      <c r="X72" s="4"/>
      <c r="Y72" s="4"/>
      <c r="Z72" s="4"/>
      <c r="AA72" s="4"/>
      <c r="AB72" s="4"/>
      <c r="AC72" s="4"/>
      <c r="AD72" s="4"/>
    </row>
    <row r="73" spans="1:30" ht="38.25">
      <c r="A73" s="207" t="s">
        <v>236</v>
      </c>
      <c r="B73" s="207" t="s">
        <v>49</v>
      </c>
      <c r="C73" s="207">
        <v>95470</v>
      </c>
      <c r="D73" s="608" t="str">
        <f>IFERROR(VLOOKUP(C73,[4]planilhanull!$G$7:$L$6879,2,FALSE),IFERROR(VLOOKUP(C73,[5]JANEIRO_21!$A$9:$E$1593,2,FALSE),IFERROR(VLOOKUP(C73,[6]sheet1!$A$8:$E$5245,2,FALSE),0)))</f>
        <v>VASO SANITARIO SIFONADO CONVENCIONAL COM LOUÇA BRANCA, INCLUSO CONJUNTO DE LIGAÇÃO PARA BACIA SANITÁRIA AJUSTÁVEL - FORNECIMENTO E INSTALAÇÃO. AF_10/2016</v>
      </c>
      <c r="E73" s="205" t="str">
        <f>IFERROR(VLOOKUP(C73,[4]planilhanull!$G$7:$L$6879,3,FALSE),IFERROR(VLOOKUP(C73,[5]JANEIRO_21!$A$9:$E$1593,2,FALSE),IFERROR(VLOOKUP(C73,[6]sheet1!$A$9:$E$5245,3,FALSE),0)))</f>
        <v>UN</v>
      </c>
      <c r="F73" s="208">
        <f>'MEMÓRIA DE CÁLCULO'!H59</f>
        <v>10</v>
      </c>
      <c r="G73" s="209" t="s">
        <v>260</v>
      </c>
      <c r="H73" s="714"/>
      <c r="I73" s="208"/>
      <c r="J73" s="208"/>
      <c r="K73" s="210"/>
      <c r="L73" s="536"/>
      <c r="M73" s="473"/>
      <c r="N73" s="193"/>
      <c r="O73" s="154"/>
      <c r="P73" s="3"/>
      <c r="Q73" s="291"/>
      <c r="R73" s="3"/>
      <c r="S73" s="4"/>
      <c r="T73" s="4"/>
      <c r="U73" s="382"/>
      <c r="V73" s="4"/>
      <c r="W73" s="4"/>
      <c r="X73" s="4"/>
      <c r="Y73" s="4"/>
      <c r="Z73" s="4"/>
      <c r="AA73" s="4"/>
      <c r="AB73" s="4"/>
      <c r="AC73" s="4"/>
      <c r="AD73" s="4"/>
    </row>
    <row r="74" spans="1:30" ht="25.5">
      <c r="A74" s="157" t="s">
        <v>237</v>
      </c>
      <c r="B74" s="157" t="s">
        <v>173</v>
      </c>
      <c r="C74" s="157">
        <v>2401001000</v>
      </c>
      <c r="D74" s="607" t="str">
        <f>IFERROR(VLOOKUP(C74,[4]planilhanull!$G$7:$L$6879,2,FALSE),IFERROR(VLOOKUP(C74,[5]JANEIRO_21!$A$9:$E$1593,2,FALSE),IFERROR(VLOOKUP(C74,[6]sheet1!$A$8:$E$5245,2,FALSE),0)))</f>
        <v>ASSENTO UNIVERSAL PARA BACIA SANITARIA, EM POLIPROPILENO LINHA EVOLUTION SOFT CLOSE DA TUPAN OU SIMILAR /UN</v>
      </c>
      <c r="E74" s="13" t="s">
        <v>14</v>
      </c>
      <c r="F74" s="211">
        <f>'MEMÓRIA DE CÁLCULO'!H60</f>
        <v>10</v>
      </c>
      <c r="G74" s="212" t="s">
        <v>260</v>
      </c>
      <c r="H74" s="710"/>
      <c r="I74" s="211"/>
      <c r="J74" s="211"/>
      <c r="K74" s="213"/>
      <c r="L74" s="536"/>
      <c r="M74" s="473"/>
      <c r="N74" s="193"/>
      <c r="O74" s="154"/>
      <c r="P74" s="3"/>
      <c r="Q74" s="291"/>
      <c r="R74" s="3"/>
      <c r="S74" s="4"/>
      <c r="T74" s="4"/>
      <c r="U74" s="382"/>
      <c r="V74" s="4"/>
      <c r="W74" s="4"/>
      <c r="X74" s="4"/>
      <c r="Y74" s="4"/>
      <c r="Z74" s="4"/>
      <c r="AA74" s="4"/>
      <c r="AB74" s="4"/>
      <c r="AC74" s="4"/>
      <c r="AD74" s="4"/>
    </row>
    <row r="75" spans="1:30" s="510" customFormat="1" ht="25.5">
      <c r="A75" s="157" t="s">
        <v>381</v>
      </c>
      <c r="B75" s="157" t="s">
        <v>49</v>
      </c>
      <c r="C75" s="157">
        <v>99635</v>
      </c>
      <c r="D75" s="607" t="str">
        <f>IFERROR(VLOOKUP(C75,[4]planilhanull!$G$7:$L$6879,2,FALSE),IFERROR(VLOOKUP(C75,[5]JANEIRO_21!$A$9:$E$1593,2,FALSE),IFERROR(VLOOKUP(C75,[6]sheet1!$A$8:$E$5245,2,FALSE),0)))</f>
        <v>VÁLVULA DE DESCARGA METÁLICA, BASE 1 1/2 ", ACABAMENTO METALICO CROMADO - FORNECIMENTO E INSTALAÇÃO. AF_01/2019</v>
      </c>
      <c r="E75" s="13" t="str">
        <f>IFERROR(VLOOKUP(C75,[4]planilhanull!$G$7:$L$6879,3,FALSE),IFERROR(VLOOKUP(C75,[5]JANEIRO_21!$A$9:$E$1593,2,FALSE),IFERROR(VLOOKUP(C75,[6]sheet1!$A$9:$E$5245,3,FALSE),0)))</f>
        <v>UN</v>
      </c>
      <c r="F75" s="211">
        <f>'MEMÓRIA DE CÁLCULO'!H61</f>
        <v>10</v>
      </c>
      <c r="G75" s="212" t="s">
        <v>260</v>
      </c>
      <c r="H75" s="710"/>
      <c r="I75" s="211"/>
      <c r="J75" s="211"/>
      <c r="K75" s="213"/>
      <c r="L75" s="536"/>
      <c r="M75" s="508"/>
      <c r="N75" s="509"/>
      <c r="O75" s="154"/>
      <c r="P75" s="3"/>
      <c r="Q75" s="291"/>
      <c r="R75" s="3"/>
      <c r="S75" s="327"/>
      <c r="T75" s="327"/>
      <c r="U75" s="327"/>
      <c r="V75" s="327"/>
      <c r="W75" s="327"/>
      <c r="X75" s="327"/>
      <c r="Y75" s="327"/>
      <c r="Z75" s="327"/>
      <c r="AA75" s="327"/>
      <c r="AB75" s="327"/>
      <c r="AC75" s="327"/>
      <c r="AD75" s="327"/>
    </row>
    <row r="76" spans="1:30" s="510" customFormat="1" ht="25.5">
      <c r="A76" s="157" t="s">
        <v>382</v>
      </c>
      <c r="B76" s="157" t="s">
        <v>49</v>
      </c>
      <c r="C76" s="157">
        <v>95544</v>
      </c>
      <c r="D76" s="607" t="str">
        <f>IFERROR(VLOOKUP(C76,[4]planilhanull!$G$7:$L$6879,2,FALSE),IFERROR(VLOOKUP(C76,[5]JANEIRO_21!$A$9:$E$1593,2,FALSE),IFERROR(VLOOKUP(C76,[6]sheet1!$A$8:$E$5245,2,FALSE),0)))</f>
        <v>PAPELEIRA DE PAREDE EM METAL CROMADO SEM TAMPA, INCLUSO FIXAÇÃO. AF_01/2020</v>
      </c>
      <c r="E76" s="13" t="str">
        <f>IFERROR(VLOOKUP(C76,[4]planilhanull!$G$7:$L$6879,3,FALSE),IFERROR(VLOOKUP(C76,[5]JANEIRO_21!$A$9:$E$1593,2,FALSE),IFERROR(VLOOKUP(C76,[6]sheet1!$A$9:$E$5245,3,FALSE),0)))</f>
        <v>UN</v>
      </c>
      <c r="F76" s="211">
        <f>'MEMÓRIA DE CÁLCULO'!H62</f>
        <v>10</v>
      </c>
      <c r="G76" s="212" t="s">
        <v>260</v>
      </c>
      <c r="H76" s="710"/>
      <c r="I76" s="211"/>
      <c r="J76" s="211"/>
      <c r="K76" s="213"/>
      <c r="L76" s="536"/>
      <c r="M76" s="508"/>
      <c r="N76" s="509"/>
      <c r="O76" s="154"/>
      <c r="P76" s="3"/>
      <c r="Q76" s="291"/>
      <c r="R76" s="3"/>
      <c r="S76" s="327"/>
      <c r="T76" s="327"/>
      <c r="U76" s="327"/>
      <c r="V76" s="327"/>
      <c r="W76" s="327"/>
      <c r="X76" s="327"/>
      <c r="Y76" s="327"/>
      <c r="Z76" s="327"/>
      <c r="AA76" s="327"/>
      <c r="AB76" s="327"/>
      <c r="AC76" s="327"/>
      <c r="AD76" s="327"/>
    </row>
    <row r="77" spans="1:30" s="510" customFormat="1" ht="38.25">
      <c r="A77" s="157" t="s">
        <v>383</v>
      </c>
      <c r="B77" s="157" t="s">
        <v>173</v>
      </c>
      <c r="C77" s="157">
        <v>1301003066</v>
      </c>
      <c r="D77" s="607" t="str">
        <f>IFERROR(VLOOKUP(C77,[4]planilhanull!$G$7:$L$6879,2,FALSE),IFERROR(VLOOKUP(C77,[5]JANEIRO_21!$A$9:$E$1593,2,FALSE),IFERROR(VLOOKUP(C77,[6]sheet1!$A$8:$E$5245,2,FALSE),0)))</f>
        <v>TORNEIRA PARA LAVATORIO DE ACIONAMENTO HIDROMECANICO, FECHAMENTO AUTOMATICO, ACABAMENTO L.C., PRESSMATIC MESA COMPACT, REF.17160606, 1/2" DA DOCOL OU SIMILAR /UN</v>
      </c>
      <c r="E77" s="13" t="s">
        <v>14</v>
      </c>
      <c r="F77" s="211">
        <f>'MEMÓRIA DE CÁLCULO'!H63</f>
        <v>9</v>
      </c>
      <c r="G77" s="212" t="s">
        <v>260</v>
      </c>
      <c r="H77" s="710"/>
      <c r="I77" s="211"/>
      <c r="J77" s="211"/>
      <c r="K77" s="213"/>
      <c r="L77" s="536"/>
      <c r="M77" s="508"/>
      <c r="N77" s="509"/>
      <c r="O77" s="154"/>
      <c r="P77" s="3"/>
      <c r="Q77" s="291"/>
      <c r="R77" s="3"/>
      <c r="S77" s="327"/>
      <c r="T77" s="327"/>
      <c r="U77" s="327"/>
      <c r="V77" s="327"/>
      <c r="W77" s="327"/>
      <c r="X77" s="327"/>
      <c r="Y77" s="327"/>
      <c r="Z77" s="327"/>
      <c r="AA77" s="327"/>
      <c r="AB77" s="327"/>
      <c r="AC77" s="327"/>
      <c r="AD77" s="327"/>
    </row>
    <row r="78" spans="1:30" s="510" customFormat="1" ht="25.5">
      <c r="A78" s="157" t="s">
        <v>384</v>
      </c>
      <c r="B78" s="157" t="s">
        <v>49</v>
      </c>
      <c r="C78" s="157">
        <v>86909</v>
      </c>
      <c r="D78" s="607" t="str">
        <f>IFERROR(VLOOKUP(C78,[4]planilhanull!$G$7:$L$6879,2,FALSE),IFERROR(VLOOKUP(C78,[5]JANEIRO_21!$A$9:$E$1593,2,FALSE),IFERROR(VLOOKUP(C78,[6]sheet1!$A$8:$E$5245,2,FALSE),0)))</f>
        <v>TORNEIRA CROMADA TUBO MÓVEL, DE MESA, 1/2 OU 3/4, PARA PIA DE COZINHA, PADRÃO ALTO - FORNECIMENTO E INSTALAÇÃO. AF_01/2020</v>
      </c>
      <c r="E78" s="13" t="str">
        <f>IFERROR(VLOOKUP(C78,[4]planilhanull!$G$7:$L$6879,3,FALSE),IFERROR(VLOOKUP(C78,[5]JANEIRO_21!$A$9:$E$1593,2,FALSE),IFERROR(VLOOKUP(C78,[6]sheet1!$A$9:$E$5245,3,FALSE),0)))</f>
        <v>UN</v>
      </c>
      <c r="F78" s="211">
        <f>'MEMÓRIA DE CÁLCULO'!H64</f>
        <v>3</v>
      </c>
      <c r="G78" s="212" t="s">
        <v>260</v>
      </c>
      <c r="H78" s="710"/>
      <c r="I78" s="211"/>
      <c r="J78" s="211"/>
      <c r="K78" s="213"/>
      <c r="L78" s="536"/>
      <c r="M78" s="508"/>
      <c r="N78" s="509"/>
      <c r="O78" s="154"/>
      <c r="P78" s="3"/>
      <c r="Q78" s="291"/>
      <c r="R78" s="3"/>
      <c r="S78" s="327"/>
      <c r="T78" s="327"/>
      <c r="U78" s="327"/>
      <c r="V78" s="327"/>
      <c r="W78" s="327"/>
      <c r="X78" s="327"/>
      <c r="Y78" s="327"/>
      <c r="Z78" s="327"/>
      <c r="AA78" s="327"/>
      <c r="AB78" s="327"/>
      <c r="AC78" s="327"/>
      <c r="AD78" s="327"/>
    </row>
    <row r="79" spans="1:30" s="510" customFormat="1" ht="25.5">
      <c r="A79" s="157" t="s">
        <v>385</v>
      </c>
      <c r="B79" s="157" t="s">
        <v>49</v>
      </c>
      <c r="C79" s="157">
        <v>86914</v>
      </c>
      <c r="D79" s="607" t="str">
        <f>IFERROR(VLOOKUP(C79,[4]planilhanull!$G$7:$L$6879,2,FALSE),IFERROR(VLOOKUP(C79,[5]JANEIRO_21!$A$9:$E$1593,2,FALSE),IFERROR(VLOOKUP(C79,[6]sheet1!$A$8:$E$5245,2,FALSE),0)))</f>
        <v>TORNEIRA CROMADA 1/2 OU 3/4 PARA TANQUE, PADRÃO MÉDIO - FORNECIMENTO E INSTALAÇÃO. AF_01/2020</v>
      </c>
      <c r="E79" s="13" t="str">
        <f>IFERROR(VLOOKUP(C79,[4]planilhanull!$G$7:$L$6879,3,FALSE),IFERROR(VLOOKUP(C79,[5]JANEIRO_21!$A$9:$E$1593,2,FALSE),IFERROR(VLOOKUP(C79,[6]sheet1!$A$9:$E$5245,3,FALSE),0)))</f>
        <v>UN</v>
      </c>
      <c r="F79" s="211">
        <f>'MEMÓRIA DE CÁLCULO'!H65</f>
        <v>1</v>
      </c>
      <c r="G79" s="212" t="s">
        <v>260</v>
      </c>
      <c r="H79" s="710"/>
      <c r="I79" s="211"/>
      <c r="J79" s="211"/>
      <c r="K79" s="213"/>
      <c r="L79" s="536"/>
      <c r="M79" s="508"/>
      <c r="N79" s="509"/>
      <c r="O79" s="154"/>
      <c r="P79" s="3"/>
      <c r="Q79" s="291"/>
      <c r="R79" s="3"/>
      <c r="S79" s="327"/>
      <c r="T79" s="327"/>
      <c r="U79" s="327"/>
      <c r="V79" s="327"/>
      <c r="W79" s="327"/>
      <c r="X79" s="327"/>
      <c r="Y79" s="327"/>
      <c r="Z79" s="327"/>
      <c r="AA79" s="327"/>
      <c r="AB79" s="327"/>
      <c r="AC79" s="327"/>
      <c r="AD79" s="327"/>
    </row>
    <row r="80" spans="1:30" s="510" customFormat="1" ht="25.5">
      <c r="A80" s="157" t="s">
        <v>386</v>
      </c>
      <c r="B80" s="157" t="s">
        <v>49</v>
      </c>
      <c r="C80" s="157">
        <v>100860</v>
      </c>
      <c r="D80" s="607" t="str">
        <f>IFERROR(VLOOKUP(C80,[4]planilhanull!$G$7:$L$6879,2,FALSE),IFERROR(VLOOKUP(C80,[5]JANEIRO_21!$A$9:$E$1593,2,FALSE),IFERROR(VLOOKUP(C80,[6]sheet1!$A$8:$E$5245,2,FALSE),0)))</f>
        <v>CHUVEIRO ELÉTRICO COMUM CORPO PLÁSTICO, TIPO DUCHA  FORNECIMENTO E INSTALAÇÃO. AF_01/2020</v>
      </c>
      <c r="E80" s="13" t="str">
        <f>IFERROR(VLOOKUP(C80,[4]planilhanull!$G$7:$L$6879,3,FALSE),IFERROR(VLOOKUP(C80,[5]JANEIRO_21!$A$9:$E$1593,2,FALSE),IFERROR(VLOOKUP(C80,[6]sheet1!$A$9:$E$5245,3,FALSE),0)))</f>
        <v>UN</v>
      </c>
      <c r="F80" s="211">
        <f>'MEMÓRIA DE CÁLCULO'!H66</f>
        <v>8</v>
      </c>
      <c r="G80" s="212" t="s">
        <v>260</v>
      </c>
      <c r="H80" s="710"/>
      <c r="I80" s="211"/>
      <c r="J80" s="211"/>
      <c r="K80" s="213"/>
      <c r="L80" s="536"/>
      <c r="M80" s="508"/>
      <c r="N80" s="509"/>
      <c r="O80" s="154"/>
      <c r="P80" s="3"/>
      <c r="Q80" s="291"/>
      <c r="R80" s="3"/>
      <c r="S80" s="327"/>
      <c r="T80" s="327"/>
      <c r="U80" s="327"/>
      <c r="V80" s="327"/>
      <c r="W80" s="327"/>
      <c r="X80" s="327"/>
      <c r="Y80" s="327"/>
      <c r="Z80" s="327"/>
      <c r="AA80" s="327"/>
      <c r="AB80" s="327"/>
      <c r="AC80" s="327"/>
      <c r="AD80" s="327"/>
    </row>
    <row r="81" spans="1:30" s="510" customFormat="1" ht="25.5">
      <c r="A81" s="157" t="s">
        <v>387</v>
      </c>
      <c r="B81" s="157" t="s">
        <v>173</v>
      </c>
      <c r="C81" s="157">
        <v>1301004064</v>
      </c>
      <c r="D81" s="607" t="str">
        <f>IFERROR(VLOOKUP(C81,[4]planilhanull!$G$7:$L$6879,2,FALSE),IFERROR(VLOOKUP(C81,[5]JANEIRO_21!$A$9:$E$1593,2,FALSE),IFERROR(VLOOKUP(C81,[6]sheet1!$A$8:$E$5245,2,FALSE),0)))</f>
        <v>TOALHEIRO PLASTICO TIPO DISPENSER PARA PAPEL TOALHA INTERFOLHADO /UN</v>
      </c>
      <c r="E81" s="13" t="s">
        <v>14</v>
      </c>
      <c r="F81" s="211">
        <f>'MEMÓRIA DE CÁLCULO'!H67</f>
        <v>8</v>
      </c>
      <c r="G81" s="212" t="s">
        <v>261</v>
      </c>
      <c r="H81" s="710"/>
      <c r="I81" s="211"/>
      <c r="J81" s="211"/>
      <c r="K81" s="213"/>
      <c r="L81" s="536"/>
      <c r="M81" s="508"/>
      <c r="N81" s="431"/>
      <c r="O81" s="154"/>
      <c r="P81" s="3"/>
      <c r="Q81" s="291"/>
      <c r="R81" s="3"/>
      <c r="S81" s="327"/>
      <c r="T81" s="327"/>
      <c r="U81" s="441"/>
      <c r="V81" s="327"/>
      <c r="W81" s="327"/>
      <c r="X81" s="327"/>
      <c r="Y81" s="327"/>
      <c r="Z81" s="327"/>
      <c r="AA81" s="327"/>
      <c r="AB81" s="327"/>
      <c r="AC81" s="327"/>
      <c r="AD81" s="327"/>
    </row>
    <row r="82" spans="1:30" s="327" customFormat="1" ht="25.5">
      <c r="A82" s="157" t="s">
        <v>388</v>
      </c>
      <c r="B82" s="157" t="s">
        <v>49</v>
      </c>
      <c r="C82" s="157">
        <v>95547</v>
      </c>
      <c r="D82" s="607" t="str">
        <f>IFERROR(VLOOKUP(C82,[4]planilhanull!$G$7:$L$6879,2,FALSE),IFERROR(VLOOKUP(C82,[5]JANEIRO_21!$A$9:$E$1593,2,FALSE),IFERROR(VLOOKUP(C82,[6]sheet1!$A$8:$E$5245,2,FALSE),0)))</f>
        <v>SABONETEIRA PLASTICA TIPO DISPENSER PARA SABONETE LIQUIDO COM RESERVATORIO 800 A 1500 ML, INCLUSO FIXAÇÃO. AF_01/2020</v>
      </c>
      <c r="E82" s="13" t="str">
        <f>IFERROR(VLOOKUP(C82,[4]planilhanull!$G$7:$L$6879,3,FALSE),IFERROR(VLOOKUP(C82,[5]JANEIRO_21!$A$9:$E$1593,2,FALSE),IFERROR(VLOOKUP(C82,[6]sheet1!$A$9:$E$5245,3,FALSE),0)))</f>
        <v>UN</v>
      </c>
      <c r="F82" s="211">
        <f>'MEMÓRIA DE CÁLCULO'!H68</f>
        <v>8</v>
      </c>
      <c r="G82" s="212" t="s">
        <v>261</v>
      </c>
      <c r="H82" s="710"/>
      <c r="I82" s="211"/>
      <c r="J82" s="211"/>
      <c r="K82" s="213"/>
      <c r="L82" s="536"/>
      <c r="M82" s="525"/>
      <c r="O82" s="154"/>
      <c r="P82" s="3"/>
      <c r="Q82" s="291"/>
      <c r="R82" s="3"/>
      <c r="U82" s="441"/>
    </row>
    <row r="83" spans="1:30" s="510" customFormat="1" ht="25.5">
      <c r="A83" s="157" t="s">
        <v>389</v>
      </c>
      <c r="B83" s="157" t="s">
        <v>49</v>
      </c>
      <c r="C83" s="157">
        <v>86884</v>
      </c>
      <c r="D83" s="607" t="str">
        <f>IFERROR(VLOOKUP(C83,[4]planilhanull!$G$7:$L$6879,2,FALSE),IFERROR(VLOOKUP(C83,[5]JANEIRO_21!$A$9:$E$1593,2,FALSE),IFERROR(VLOOKUP(C83,[6]sheet1!$A$8:$E$5245,2,FALSE),0)))</f>
        <v>ENGATE FLEXÍVEL EM PLÁSTICO BRANCO, 1/2 X 30CM - FORNECIMENTO E INSTALAÇÃO. AF_01/2020</v>
      </c>
      <c r="E83" s="13" t="str">
        <f>IFERROR(VLOOKUP(C83,[4]planilhanull!$G$7:$L$6879,3,FALSE),IFERROR(VLOOKUP(C83,[5]JANEIRO_21!$A$9:$E$1593,2,FALSE),IFERROR(VLOOKUP(C83,[6]sheet1!$A$9:$E$5245,3,FALSE),0)))</f>
        <v>UN</v>
      </c>
      <c r="F83" s="211">
        <f>'MEMÓRIA DE CÁLCULO'!H69</f>
        <v>12</v>
      </c>
      <c r="G83" s="212" t="s">
        <v>260</v>
      </c>
      <c r="H83" s="710"/>
      <c r="I83" s="211"/>
      <c r="J83" s="211"/>
      <c r="K83" s="213"/>
      <c r="L83" s="536"/>
      <c r="M83" s="508"/>
      <c r="N83" s="509"/>
      <c r="O83" s="154"/>
      <c r="P83" s="3"/>
      <c r="Q83" s="291"/>
      <c r="R83" s="3"/>
      <c r="S83" s="327"/>
      <c r="T83" s="327"/>
      <c r="U83" s="441"/>
      <c r="V83" s="327"/>
      <c r="W83" s="327"/>
      <c r="X83" s="327"/>
      <c r="Y83" s="327"/>
      <c r="Z83" s="327"/>
      <c r="AA83" s="327"/>
      <c r="AB83" s="327"/>
      <c r="AC83" s="327"/>
      <c r="AD83" s="327"/>
    </row>
    <row r="84" spans="1:30" s="510" customFormat="1" ht="25.5">
      <c r="A84" s="157" t="s">
        <v>390</v>
      </c>
      <c r="B84" s="157" t="s">
        <v>49</v>
      </c>
      <c r="C84" s="157">
        <v>86883</v>
      </c>
      <c r="D84" s="607" t="str">
        <f>IFERROR(VLOOKUP(C84,[4]planilhanull!$G$7:$L$6879,2,FALSE),IFERROR(VLOOKUP(C84,[5]JANEIRO_21!$A$9:$E$1593,2,FALSE),IFERROR(VLOOKUP(C84,[6]sheet1!$A$8:$E$5245,2,FALSE),0)))</f>
        <v>SIFÃO DO TIPO FLEXÍVEL EM PVC 1  X 1.1/2  - FORNECIMENTO E INSTALAÇÃO. AF_01/2020</v>
      </c>
      <c r="E84" s="13" t="str">
        <f>IFERROR(VLOOKUP(C84,[4]planilhanull!$G$7:$L$6879,3,FALSE),IFERROR(VLOOKUP(C84,[5]JANEIRO_21!$A$9:$E$1593,2,FALSE),IFERROR(VLOOKUP(C84,[6]sheet1!$A$9:$E$5245,3,FALSE),0)))</f>
        <v>UN</v>
      </c>
      <c r="F84" s="211">
        <f>'MEMÓRIA DE CÁLCULO'!H70</f>
        <v>12</v>
      </c>
      <c r="G84" s="212" t="s">
        <v>260</v>
      </c>
      <c r="H84" s="710"/>
      <c r="I84" s="211"/>
      <c r="J84" s="211"/>
      <c r="K84" s="213"/>
      <c r="L84" s="536"/>
      <c r="M84" s="508"/>
      <c r="N84" s="509"/>
      <c r="O84" s="154"/>
      <c r="P84" s="3"/>
      <c r="Q84" s="291"/>
      <c r="R84" s="3"/>
      <c r="S84" s="327"/>
      <c r="T84" s="327"/>
      <c r="U84" s="441"/>
      <c r="V84" s="327"/>
      <c r="W84" s="327"/>
      <c r="X84" s="327"/>
      <c r="Y84" s="327"/>
      <c r="Z84" s="327"/>
      <c r="AA84" s="327"/>
      <c r="AB84" s="327"/>
      <c r="AC84" s="327"/>
      <c r="AD84" s="327"/>
    </row>
    <row r="85" spans="1:30" s="510" customFormat="1">
      <c r="A85" s="668" t="s">
        <v>391</v>
      </c>
      <c r="B85" s="668" t="s">
        <v>49</v>
      </c>
      <c r="C85" s="668">
        <v>100705</v>
      </c>
      <c r="D85" s="670" t="str">
        <f>IFERROR(VLOOKUP(C85,[4]planilhanull!$G$7:$L$6879,2,FALSE),IFERROR(VLOOKUP(C85,[5]JANEIRO_21!$A$9:$E$1593,2,FALSE),IFERROR(VLOOKUP(C85,[6]sheet1!$A$8:$E$5245,2,FALSE),0)))</f>
        <v>TARJETA TIPO LIVRE/OCUPADO PARA PORTA DE BANHEIRO. AF_12/2019</v>
      </c>
      <c r="E85" s="671" t="str">
        <f>IFERROR(VLOOKUP(C85,[4]planilhanull!$G$7:$L$6879,3,FALSE),IFERROR(VLOOKUP(C85,[5]JANEIRO_21!$A$9:$E$1593,2,FALSE),IFERROR(VLOOKUP(C85,[6]sheet1!$A$9:$E$5245,3,FALSE),0)))</f>
        <v>UN</v>
      </c>
      <c r="F85" s="672">
        <f>'MEMÓRIA DE CÁLCULO'!H71</f>
        <v>16</v>
      </c>
      <c r="G85" s="673" t="s">
        <v>261</v>
      </c>
      <c r="H85" s="713"/>
      <c r="I85" s="672"/>
      <c r="J85" s="672"/>
      <c r="K85" s="674"/>
      <c r="L85" s="536"/>
      <c r="M85" s="508"/>
      <c r="N85" s="431"/>
      <c r="O85" s="154"/>
      <c r="P85" s="3"/>
      <c r="Q85" s="291"/>
      <c r="R85" s="3"/>
      <c r="S85" s="327"/>
      <c r="T85" s="327"/>
      <c r="U85" s="441"/>
      <c r="V85" s="327"/>
      <c r="W85" s="327"/>
      <c r="X85" s="327"/>
      <c r="Y85" s="327"/>
      <c r="Z85" s="327"/>
      <c r="AA85" s="327"/>
      <c r="AB85" s="327"/>
      <c r="AC85" s="327"/>
      <c r="AD85" s="327"/>
    </row>
    <row r="86" spans="1:30" s="510" customFormat="1">
      <c r="A86" s="515"/>
      <c r="B86" s="516"/>
      <c r="C86" s="517"/>
      <c r="D86" s="517"/>
      <c r="E86" s="518"/>
      <c r="F86" s="519"/>
      <c r="G86" s="520"/>
      <c r="H86" s="519"/>
      <c r="I86" s="521" t="s">
        <v>220</v>
      </c>
      <c r="J86" s="521">
        <f>SUM(J73:J85)</f>
        <v>0</v>
      </c>
      <c r="K86" s="522">
        <f>SUM(K73:K85)</f>
        <v>0</v>
      </c>
      <c r="L86" s="536"/>
      <c r="M86" s="508"/>
      <c r="N86" s="431"/>
      <c r="O86" s="154"/>
      <c r="P86" s="3"/>
      <c r="Q86" s="291"/>
      <c r="R86" s="3"/>
      <c r="S86" s="327"/>
      <c r="T86" s="327"/>
      <c r="U86" s="441"/>
      <c r="V86" s="327"/>
      <c r="W86" s="327"/>
      <c r="X86" s="327"/>
      <c r="Y86" s="327"/>
      <c r="Z86" s="327"/>
      <c r="AA86" s="327"/>
      <c r="AB86" s="327"/>
      <c r="AC86" s="327"/>
      <c r="AD86" s="327"/>
    </row>
    <row r="87" spans="1:30" s="370" customFormat="1">
      <c r="A87" s="378"/>
      <c r="B87" s="379"/>
      <c r="C87" s="380"/>
      <c r="D87" s="380"/>
      <c r="E87" s="233"/>
      <c r="F87" s="236"/>
      <c r="G87" s="235"/>
      <c r="H87" s="236"/>
      <c r="I87" s="229" t="s">
        <v>243</v>
      </c>
      <c r="J87" s="229">
        <f>J86</f>
        <v>0</v>
      </c>
      <c r="K87" s="240" t="e">
        <f>J87/$J$127</f>
        <v>#DIV/0!</v>
      </c>
      <c r="L87" s="543"/>
      <c r="M87" s="533"/>
      <c r="N87" s="284"/>
      <c r="O87" s="285"/>
      <c r="P87" s="392"/>
      <c r="Q87" s="393"/>
      <c r="R87" s="392"/>
    </row>
    <row r="88" spans="1:30" ht="14.25">
      <c r="A88" s="501" t="s">
        <v>237</v>
      </c>
      <c r="B88" s="502"/>
      <c r="C88" s="502"/>
      <c r="D88" s="503" t="s">
        <v>333</v>
      </c>
      <c r="E88" s="504"/>
      <c r="F88" s="505"/>
      <c r="G88" s="506"/>
      <c r="H88" s="505"/>
      <c r="I88" s="505"/>
      <c r="J88" s="505"/>
      <c r="K88" s="507"/>
      <c r="L88" s="185"/>
      <c r="M88" s="203"/>
      <c r="N88" s="399"/>
      <c r="O88" s="400"/>
      <c r="Q88" s="291"/>
    </row>
    <row r="89" spans="1:30" ht="51">
      <c r="A89" s="715" t="s">
        <v>363</v>
      </c>
      <c r="B89" s="207" t="s">
        <v>49</v>
      </c>
      <c r="C89" s="571">
        <v>95472</v>
      </c>
      <c r="D89" s="608" t="str">
        <f>IFERROR(VLOOKUP(C89,[4]planilhanull!$G$7:$L$6879,2,FALSE),IFERROR(VLOOKUP(C89,[5]JANEIRO_21!$A$9:$E$1593,2,FALSE),IFERROR(VLOOKUP(C89,[6]sheet1!$A$8:$E$5245,2,FALSE),0)))</f>
        <v>VASO SANITARIO SIFONADO CONVENCIONAL PARA PCD SEM FURO FRONTAL COM LOUÇA BRANCA SEM ASSENTO, INCLUSO CONJUNTO DE LIGAÇÃO PARA BACIA SANITÁRIA AJUSTÁVEL - FORNECIMENTO E INSTALAÇÃO. AF_01/2020</v>
      </c>
      <c r="E89" s="205" t="str">
        <f>IFERROR(VLOOKUP(C89,[4]planilhanull!$G$7:$L$6879,3,FALSE),IFERROR(VLOOKUP(C89,[5]JANEIRO_21!$A$9:$E$1593,2,FALSE),IFERROR(VLOOKUP(C89,[6]sheet1!$A$9:$E$5245,3,FALSE),0)))</f>
        <v>UN</v>
      </c>
      <c r="F89" s="716">
        <f>'MEMÓRIA DE CÁLCULO'!H73</f>
        <v>1</v>
      </c>
      <c r="G89" s="717" t="s">
        <v>260</v>
      </c>
      <c r="H89" s="714"/>
      <c r="I89" s="716"/>
      <c r="J89" s="716"/>
      <c r="K89" s="718"/>
      <c r="L89" s="185"/>
      <c r="M89" s="203"/>
      <c r="N89" s="399"/>
      <c r="O89" s="400"/>
      <c r="Q89" s="291"/>
    </row>
    <row r="90" spans="1:30" s="300" customFormat="1" ht="25.5">
      <c r="A90" s="511" t="s">
        <v>364</v>
      </c>
      <c r="B90" s="157" t="s">
        <v>173</v>
      </c>
      <c r="C90" s="570">
        <v>2401001000</v>
      </c>
      <c r="D90" s="607" t="str">
        <f>IFERROR(VLOOKUP(C90,[4]planilhanull!$G$7:$L$6879,2,FALSE),IFERROR(VLOOKUP(C90,[5]JANEIRO_21!$A$9:$E$1593,2,FALSE),IFERROR(VLOOKUP(C90,[6]sheet1!$A$8:$E$5245,2,FALSE),0)))</f>
        <v>ASSENTO UNIVERSAL PARA BACIA SANITARIA, EM POLIPROPILENO LINHA EVOLUTION SOFT CLOSE DA TUPAN OU SIMILAR /UN</v>
      </c>
      <c r="E90" s="13" t="s">
        <v>14</v>
      </c>
      <c r="F90" s="512">
        <f>'MEMÓRIA DE CÁLCULO'!H74</f>
        <v>1</v>
      </c>
      <c r="G90" s="513" t="s">
        <v>260</v>
      </c>
      <c r="H90" s="710"/>
      <c r="I90" s="512"/>
      <c r="J90" s="512"/>
      <c r="K90" s="514"/>
      <c r="L90" s="538"/>
      <c r="M90" s="499"/>
      <c r="N90" s="500"/>
      <c r="O90" s="498"/>
      <c r="P90" s="298"/>
      <c r="Q90" s="299"/>
      <c r="R90" s="298"/>
    </row>
    <row r="91" spans="1:30" s="300" customFormat="1" ht="25.5">
      <c r="A91" s="511" t="s">
        <v>365</v>
      </c>
      <c r="B91" s="157" t="s">
        <v>173</v>
      </c>
      <c r="C91" s="511">
        <v>1301004009</v>
      </c>
      <c r="D91" s="607" t="str">
        <f>IFERROR(VLOOKUP(C91,[4]planilhanull!$G$7:$L$6879,2,FALSE),IFERROR(VLOOKUP(C91,[5]JANEIRO_21!$A$9:$E$1593,2,FALSE),IFERROR(VLOOKUP(C91,[6]sheet1!$A$8:$E$5245,2,FALSE),0)))</f>
        <v>VALVULA DE DESCARGA 1 1/2" SEM ACABAMENTO (BASE), DOCOL OU SIMILAR /UN</v>
      </c>
      <c r="E91" s="13" t="s">
        <v>14</v>
      </c>
      <c r="F91" s="512">
        <f>'MEMÓRIA DE CÁLCULO'!H75</f>
        <v>1</v>
      </c>
      <c r="G91" s="513" t="s">
        <v>260</v>
      </c>
      <c r="H91" s="710"/>
      <c r="I91" s="512"/>
      <c r="J91" s="512"/>
      <c r="K91" s="514"/>
      <c r="L91" s="538"/>
      <c r="M91" s="499"/>
      <c r="N91" s="500"/>
      <c r="O91" s="498"/>
      <c r="P91" s="298"/>
      <c r="Q91" s="299"/>
      <c r="R91" s="298"/>
    </row>
    <row r="92" spans="1:30" ht="25.5">
      <c r="A92" s="511" t="s">
        <v>366</v>
      </c>
      <c r="B92" s="157" t="s">
        <v>173</v>
      </c>
      <c r="C92" s="511">
        <v>2401001015</v>
      </c>
      <c r="D92" s="607" t="str">
        <f>IFERROR(VLOOKUP(C92,[4]planilhanull!$G$7:$L$6879,2,FALSE),IFERROR(VLOOKUP(C92,[5]JANEIRO_21!$A$9:$E$1593,2,FALSE),IFERROR(VLOOKUP(C92,[6]sheet1!$A$8:$E$5245,2,FALSE),0)))</f>
        <v>ACABAMENTO PARA VALVULA DE DESCARGA PARA DEFICIENTE FISICO VD BENEFIT COD 00184906 DA DOCOL OU SIMILAR /UN</v>
      </c>
      <c r="E92" s="13" t="s">
        <v>14</v>
      </c>
      <c r="F92" s="512">
        <f>'MEMÓRIA DE CÁLCULO'!H76</f>
        <v>1</v>
      </c>
      <c r="G92" s="513" t="s">
        <v>260</v>
      </c>
      <c r="H92" s="710"/>
      <c r="I92" s="512"/>
      <c r="J92" s="512"/>
      <c r="K92" s="514"/>
      <c r="L92" s="538"/>
      <c r="M92" s="203"/>
      <c r="N92" s="399"/>
      <c r="O92" s="400"/>
      <c r="Q92" s="291"/>
    </row>
    <row r="93" spans="1:30" ht="25.5">
      <c r="A93" s="511" t="s">
        <v>367</v>
      </c>
      <c r="B93" s="157" t="s">
        <v>173</v>
      </c>
      <c r="C93" s="572">
        <v>1301003011</v>
      </c>
      <c r="D93" s="607" t="str">
        <f>IFERROR(VLOOKUP(C93,[4]planilhanull!$G$7:$L$6879,2,FALSE),IFERROR(VLOOKUP(C93,[5]JANEIRO_21!$A$9:$E$1593,2,FALSE),IFERROR(VLOOKUP(C93,[6]sheet1!$A$8:$E$5245,2,FALSE),0)))</f>
        <v>TORNEIRA PRESSMATIC DE MESA PARA DEFICIENTE FISICO BENEFI REF. 00490706 1/2" DA DOCOL OU SIMILAR /UN</v>
      </c>
      <c r="E93" s="13" t="s">
        <v>14</v>
      </c>
      <c r="F93" s="512">
        <f>'MEMÓRIA DE CÁLCULO'!H77</f>
        <v>1</v>
      </c>
      <c r="G93" s="513" t="s">
        <v>260</v>
      </c>
      <c r="H93" s="710"/>
      <c r="I93" s="512"/>
      <c r="J93" s="512"/>
      <c r="K93" s="514"/>
      <c r="L93" s="538"/>
      <c r="M93" s="203"/>
      <c r="N93" s="399"/>
      <c r="O93" s="400"/>
      <c r="Q93" s="291"/>
    </row>
    <row r="94" spans="1:30" ht="25.5">
      <c r="A94" s="511" t="s">
        <v>368</v>
      </c>
      <c r="B94" s="157" t="s">
        <v>49</v>
      </c>
      <c r="C94" s="511">
        <v>100874</v>
      </c>
      <c r="D94" s="607" t="str">
        <f>IFERROR(VLOOKUP(C94,[4]planilhanull!$G$7:$L$6879,2,FALSE),IFERROR(VLOOKUP(C94,[5]JANEIRO_21!$A$9:$E$1593,2,FALSE),IFERROR(VLOOKUP(C94,[6]sheet1!$A$8:$E$5245,2,FALSE),0)))</f>
        <v>PUXADOR PARA PCD, FIXADO NA PORTA - FORNECIMENTO E INSTALAÇÃO. AF_01/2020</v>
      </c>
      <c r="E94" s="13" t="str">
        <f>IFERROR(VLOOKUP(C94,[4]planilhanull!$G$7:$L$6879,3,FALSE),IFERROR(VLOOKUP(C94,[5]JANEIRO_21!$A$9:$E$1593,2,FALSE),IFERROR(VLOOKUP(C94,[6]sheet1!$A$9:$E$5245,3,FALSE),0)))</f>
        <v>UN</v>
      </c>
      <c r="F94" s="512">
        <f>'MEMÓRIA DE CÁLCULO'!H78</f>
        <v>1</v>
      </c>
      <c r="G94" s="513" t="s">
        <v>260</v>
      </c>
      <c r="H94" s="710"/>
      <c r="I94" s="512"/>
      <c r="J94" s="512"/>
      <c r="K94" s="514"/>
      <c r="L94" s="538"/>
      <c r="M94" s="203"/>
      <c r="N94" s="399"/>
      <c r="O94" s="400"/>
      <c r="Q94" s="291"/>
    </row>
    <row r="95" spans="1:30" s="327" customFormat="1" ht="25.5">
      <c r="A95" s="511" t="s">
        <v>369</v>
      </c>
      <c r="B95" s="157" t="s">
        <v>49</v>
      </c>
      <c r="C95" s="511">
        <v>100867</v>
      </c>
      <c r="D95" s="607" t="str">
        <f>IFERROR(VLOOKUP(C95,[4]planilhanull!$G$7:$L$6879,2,FALSE),IFERROR(VLOOKUP(C95,[5]JANEIRO_21!$A$9:$E$1593,2,FALSE),IFERROR(VLOOKUP(C95,[6]sheet1!$A$8:$E$5245,2,FALSE),0)))</f>
        <v>BARRA DE APOIO RETA, EM ACO INOX POLIDO, COMPRIMENTO 70 CM,  FIXADA NA PAREDE - FORNECIMENTO E INSTALAÇÃO. AF_01/2020</v>
      </c>
      <c r="E95" s="13" t="str">
        <f>IFERROR(VLOOKUP(C95,[4]planilhanull!$G$7:$L$6879,3,FALSE),IFERROR(VLOOKUP(C95,[5]JANEIRO_21!$A$9:$E$1593,2,FALSE),IFERROR(VLOOKUP(C95,[6]sheet1!$A$9:$E$5245,3,FALSE),0)))</f>
        <v>UN</v>
      </c>
      <c r="F95" s="512">
        <f>'MEMÓRIA DE CÁLCULO'!H79</f>
        <v>1</v>
      </c>
      <c r="G95" s="513" t="s">
        <v>260</v>
      </c>
      <c r="H95" s="710"/>
      <c r="I95" s="512"/>
      <c r="J95" s="512"/>
      <c r="K95" s="514"/>
      <c r="L95" s="538"/>
      <c r="M95" s="475"/>
      <c r="N95" s="402"/>
      <c r="O95" s="401"/>
      <c r="P95" s="3"/>
      <c r="Q95" s="291"/>
      <c r="R95" s="3"/>
    </row>
    <row r="96" spans="1:30" s="327" customFormat="1" ht="25.5">
      <c r="A96" s="511" t="s">
        <v>370</v>
      </c>
      <c r="B96" s="157" t="s">
        <v>49</v>
      </c>
      <c r="C96" s="511">
        <v>100868</v>
      </c>
      <c r="D96" s="607" t="str">
        <f>IFERROR(VLOOKUP(C96,[4]planilhanull!$G$7:$L$6879,2,FALSE),IFERROR(VLOOKUP(C96,[5]JANEIRO_21!$A$9:$E$1593,2,FALSE),IFERROR(VLOOKUP(C96,[6]sheet1!$A$8:$E$5245,2,FALSE),0)))</f>
        <v>BARRA DE APOIO RETA, EM ACO INOX POLIDO, COMPRIMENTO 80 CM,  FIXADA NA PAREDE - FORNECIMENTO E INSTALAÇÃO. AF_01/2020</v>
      </c>
      <c r="E96" s="13" t="str">
        <f>IFERROR(VLOOKUP(C96,[4]planilhanull!$G$7:$L$6879,3,FALSE),IFERROR(VLOOKUP(C96,[5]JANEIRO_21!$A$9:$E$1593,2,FALSE),IFERROR(VLOOKUP(C96,[6]sheet1!$A$9:$E$5245,3,FALSE),0)))</f>
        <v>UN</v>
      </c>
      <c r="F96" s="574">
        <f>'MEMÓRIA DE CÁLCULO'!H80</f>
        <v>2</v>
      </c>
      <c r="G96" s="513" t="s">
        <v>260</v>
      </c>
      <c r="H96" s="710"/>
      <c r="I96" s="512"/>
      <c r="J96" s="512"/>
      <c r="K96" s="514"/>
      <c r="L96" s="538"/>
      <c r="M96" s="475"/>
      <c r="N96" s="402"/>
      <c r="O96" s="401"/>
      <c r="P96" s="3"/>
      <c r="Q96" s="291"/>
      <c r="R96" s="3"/>
    </row>
    <row r="97" spans="1:18" ht="25.5">
      <c r="A97" s="719" t="s">
        <v>371</v>
      </c>
      <c r="B97" s="668" t="s">
        <v>173</v>
      </c>
      <c r="C97" s="719">
        <v>2401002010</v>
      </c>
      <c r="D97" s="670" t="str">
        <f>IFERROR(VLOOKUP(C97,[4]planilhanull!$G$7:$L$6879,2,FALSE),IFERROR(VLOOKUP(C97,[5]JANEIRO_21!$A$9:$E$1593,2,FALSE),IFERROR(VLOOKUP(C97,[6]sheet1!$A$8:$E$5245,2,FALSE),0)))</f>
        <v>BARRA DE APOIO RETA, EM ACO INOX POLIDO, COMPRIMENTO DE 40CM, DIAMETRO MINIMO DE 3CM /UN</v>
      </c>
      <c r="E97" s="671" t="s">
        <v>14</v>
      </c>
      <c r="F97" s="720">
        <f>'MEMÓRIA DE CÁLCULO'!H81</f>
        <v>2</v>
      </c>
      <c r="G97" s="721" t="s">
        <v>261</v>
      </c>
      <c r="H97" s="713"/>
      <c r="I97" s="720"/>
      <c r="J97" s="720"/>
      <c r="K97" s="722"/>
      <c r="L97" s="538"/>
      <c r="M97" s="203"/>
      <c r="N97" s="399"/>
      <c r="O97" s="400"/>
      <c r="Q97" s="291"/>
    </row>
    <row r="98" spans="1:18">
      <c r="A98" s="515"/>
      <c r="B98" s="516"/>
      <c r="C98" s="517"/>
      <c r="D98" s="517"/>
      <c r="E98" s="518"/>
      <c r="F98" s="519"/>
      <c r="G98" s="520"/>
      <c r="H98" s="519"/>
      <c r="I98" s="521" t="s">
        <v>220</v>
      </c>
      <c r="J98" s="521">
        <f>SUM(J89:J97)</f>
        <v>0</v>
      </c>
      <c r="K98" s="522">
        <f>SUM(K89:K97)</f>
        <v>0</v>
      </c>
      <c r="L98" s="538"/>
      <c r="M98" s="203"/>
      <c r="N98" s="399"/>
      <c r="O98" s="400"/>
      <c r="Q98" s="291"/>
    </row>
    <row r="99" spans="1:18" s="11" customFormat="1">
      <c r="A99" s="378"/>
      <c r="B99" s="379"/>
      <c r="C99" s="380"/>
      <c r="D99" s="380"/>
      <c r="E99" s="233"/>
      <c r="F99" s="236"/>
      <c r="G99" s="235"/>
      <c r="H99" s="236"/>
      <c r="I99" s="229" t="s">
        <v>243</v>
      </c>
      <c r="J99" s="229">
        <f>J98</f>
        <v>0</v>
      </c>
      <c r="K99" s="240" t="e">
        <f>J99/$J$127</f>
        <v>#DIV/0!</v>
      </c>
      <c r="L99" s="544"/>
      <c r="M99" s="203"/>
      <c r="N99" s="201"/>
      <c r="O99" s="2"/>
      <c r="P99" s="89"/>
      <c r="Q99" s="434"/>
      <c r="R99" s="89"/>
    </row>
    <row r="100" spans="1:18" ht="14.25">
      <c r="A100" s="357" t="s">
        <v>372</v>
      </c>
      <c r="B100" s="396"/>
      <c r="C100" s="396"/>
      <c r="D100" s="237" t="s">
        <v>35</v>
      </c>
      <c r="E100" s="287"/>
      <c r="F100" s="288"/>
      <c r="G100" s="289"/>
      <c r="H100" s="288"/>
      <c r="I100" s="288"/>
      <c r="J100" s="288"/>
      <c r="K100" s="290"/>
      <c r="L100" s="538"/>
      <c r="M100" s="203"/>
      <c r="N100" s="399"/>
      <c r="O100" s="400"/>
      <c r="Q100" s="291"/>
    </row>
    <row r="101" spans="1:18" s="590" customFormat="1" ht="25.5">
      <c r="A101" s="715" t="s">
        <v>373</v>
      </c>
      <c r="B101" s="207" t="s">
        <v>49</v>
      </c>
      <c r="C101" s="715">
        <v>88497</v>
      </c>
      <c r="D101" s="608" t="str">
        <f>IFERROR(VLOOKUP(C101,[4]planilhanull!$G$7:$L$6879,2,FALSE),IFERROR(VLOOKUP(C101,[5]JANEIRO_21!$A$9:$E$1593,2,FALSE),IFERROR(VLOOKUP(C101,[6]sheet1!$A$8:$E$5245,2,FALSE),0)))</f>
        <v>APLICAÇÃO E LIXAMENTO DE MASSA LÁTEX EM PAREDES, DUAS DEMÃOS. AF_06/2014</v>
      </c>
      <c r="E101" s="205" t="str">
        <f>IFERROR(VLOOKUP(C101,[4]planilhanull!$G$7:$L$6879,3,FALSE),IFERROR(VLOOKUP(C101,[5]JANEIRO_21!$A$9:$E$1593,2,FALSE),IFERROR(VLOOKUP(C101,[6]sheet1!$A$9:$E$5245,3,FALSE),0)))</f>
        <v>M2</v>
      </c>
      <c r="F101" s="716">
        <f>'MEMÓRIA DE CÁLCULO'!H83</f>
        <v>1304.2819999999999</v>
      </c>
      <c r="G101" s="717" t="s">
        <v>231</v>
      </c>
      <c r="H101" s="714"/>
      <c r="I101" s="716"/>
      <c r="J101" s="716"/>
      <c r="K101" s="718"/>
      <c r="L101" s="598"/>
      <c r="M101" s="599"/>
      <c r="N101" s="600"/>
      <c r="O101" s="601"/>
      <c r="P101" s="595"/>
      <c r="Q101" s="596"/>
      <c r="R101" s="595"/>
    </row>
    <row r="102" spans="1:18" s="590" customFormat="1" ht="25.5">
      <c r="A102" s="511" t="s">
        <v>374</v>
      </c>
      <c r="B102" s="157" t="s">
        <v>49</v>
      </c>
      <c r="C102" s="511">
        <v>88489</v>
      </c>
      <c r="D102" s="607" t="str">
        <f>IFERROR(VLOOKUP(C102,[4]planilhanull!$G$7:$L$6879,2,FALSE),IFERROR(VLOOKUP(C102,[5]JANEIRO_21!$A$9:$E$1593,2,FALSE),IFERROR(VLOOKUP(C102,[6]sheet1!$A$8:$E$5245,2,FALSE),0)))</f>
        <v>APLICAÇÃO MANUAL DE PINTURA COM TINTA LÁTEX ACRÍLICA EM PAREDES, DUAS DEMÃOS. AF_06/2014</v>
      </c>
      <c r="E102" s="13" t="str">
        <f>IFERROR(VLOOKUP(C102,[4]planilhanull!$G$7:$L$6879,3,FALSE),IFERROR(VLOOKUP(C102,[5]JANEIRO_21!$A$9:$E$1593,2,FALSE),IFERROR(VLOOKUP(C102,[6]sheet1!$A$9:$E$5245,3,FALSE),0)))</f>
        <v>M2</v>
      </c>
      <c r="F102" s="512">
        <f>'MEMÓRIA DE CÁLCULO'!H84</f>
        <v>1863.26</v>
      </c>
      <c r="G102" s="513" t="s">
        <v>231</v>
      </c>
      <c r="H102" s="710"/>
      <c r="I102" s="512"/>
      <c r="J102" s="512"/>
      <c r="K102" s="514"/>
      <c r="L102" s="598"/>
      <c r="M102" s="599"/>
      <c r="N102" s="600"/>
      <c r="O102" s="601"/>
      <c r="P102" s="595"/>
      <c r="Q102" s="596"/>
      <c r="R102" s="595"/>
    </row>
    <row r="103" spans="1:18" s="590" customFormat="1" ht="25.5">
      <c r="A103" s="511" t="s">
        <v>375</v>
      </c>
      <c r="B103" s="157" t="s">
        <v>49</v>
      </c>
      <c r="C103" s="511">
        <v>88494</v>
      </c>
      <c r="D103" s="607" t="str">
        <f>IFERROR(VLOOKUP(C103,[4]planilhanull!$G$7:$L$6879,2,FALSE),IFERROR(VLOOKUP(C103,[5]JANEIRO_21!$A$9:$E$1593,2,FALSE),IFERROR(VLOOKUP(C103,[6]sheet1!$A$8:$E$5245,2,FALSE),0)))</f>
        <v>APLICAÇÃO E LIXAMENTO DE MASSA LÁTEX EM TETO, UMA DEMÃO. AF_06/2014</v>
      </c>
      <c r="E103" s="13" t="str">
        <f>IFERROR(VLOOKUP(C103,[4]planilhanull!$G$7:$L$6879,3,FALSE),IFERROR(VLOOKUP(C103,[5]JANEIRO_21!$A$9:$E$1593,2,FALSE),IFERROR(VLOOKUP(C103,[6]sheet1!$A$9:$E$5245,3,FALSE),0)))</f>
        <v>M2</v>
      </c>
      <c r="F103" s="512">
        <f>'MEMÓRIA DE CÁLCULO'!H85</f>
        <v>687.7600000000001</v>
      </c>
      <c r="G103" s="513" t="s">
        <v>231</v>
      </c>
      <c r="H103" s="710"/>
      <c r="I103" s="512"/>
      <c r="J103" s="512"/>
      <c r="K103" s="514"/>
      <c r="L103" s="598"/>
      <c r="M103" s="599"/>
      <c r="N103" s="600"/>
      <c r="O103" s="601"/>
      <c r="P103" s="595"/>
      <c r="Q103" s="596"/>
      <c r="R103" s="595"/>
    </row>
    <row r="104" spans="1:18" s="590" customFormat="1" ht="25.5">
      <c r="A104" s="511" t="s">
        <v>376</v>
      </c>
      <c r="B104" s="157" t="s">
        <v>49</v>
      </c>
      <c r="C104" s="511">
        <v>88488</v>
      </c>
      <c r="D104" s="607" t="str">
        <f>IFERROR(VLOOKUP(C104,[4]planilhanull!$G$7:$L$6879,2,FALSE),IFERROR(VLOOKUP(C104,[5]JANEIRO_21!$A$9:$E$1593,2,FALSE),IFERROR(VLOOKUP(C104,[6]sheet1!$A$8:$E$5245,2,FALSE),0)))</f>
        <v>APLICAÇÃO MANUAL DE PINTURA COM TINTA LÁTEX ACRÍLICA EM TETO, DUAS DEMÃOS. AF_06/2014</v>
      </c>
      <c r="E104" s="13" t="str">
        <f>IFERROR(VLOOKUP(C104,[4]planilhanull!$G$7:$L$6879,3,FALSE),IFERROR(VLOOKUP(C104,[5]JANEIRO_21!$A$9:$E$1593,2,FALSE),IFERROR(VLOOKUP(C104,[6]sheet1!$A$9:$E$5245,3,FALSE),0)))</f>
        <v>M2</v>
      </c>
      <c r="F104" s="512">
        <f>'MEMÓRIA DE CÁLCULO'!H86</f>
        <v>977.2</v>
      </c>
      <c r="G104" s="513" t="s">
        <v>231</v>
      </c>
      <c r="H104" s="710"/>
      <c r="I104" s="512"/>
      <c r="J104" s="512"/>
      <c r="K104" s="514"/>
      <c r="L104" s="598"/>
      <c r="M104" s="599"/>
      <c r="N104" s="600"/>
      <c r="O104" s="601"/>
      <c r="P104" s="595"/>
      <c r="Q104" s="596"/>
      <c r="R104" s="595"/>
    </row>
    <row r="105" spans="1:18" s="590" customFormat="1" ht="25.5">
      <c r="A105" s="511" t="s">
        <v>377</v>
      </c>
      <c r="B105" s="157" t="s">
        <v>49</v>
      </c>
      <c r="C105" s="511">
        <v>100717</v>
      </c>
      <c r="D105" s="607" t="str">
        <f>IFERROR(VLOOKUP(C105,[4]planilhanull!$G$7:$L$6879,2,FALSE),IFERROR(VLOOKUP(C105,[5]JANEIRO_21!$A$9:$E$1593,2,FALSE),IFERROR(VLOOKUP(C105,[6]sheet1!$A$8:$E$5245,2,FALSE),0)))</f>
        <v>LIXAMENTO MANUAL EM SUPERFÍCIES METÁLICAS EM OBRA. AF_01/2020</v>
      </c>
      <c r="E105" s="13" t="str">
        <f>IFERROR(VLOOKUP(C105,[4]planilhanull!$G$7:$L$6879,3,FALSE),IFERROR(VLOOKUP(C105,[5]JANEIRO_21!$A$9:$E$1593,2,FALSE),IFERROR(VLOOKUP(C105,[6]sheet1!$A$9:$E$5245,3,FALSE),0)))</f>
        <v>M2</v>
      </c>
      <c r="F105" s="512">
        <f>'MEMÓRIA DE CÁLCULO'!H87</f>
        <v>129.22</v>
      </c>
      <c r="G105" s="513" t="s">
        <v>231</v>
      </c>
      <c r="H105" s="710"/>
      <c r="I105" s="512"/>
      <c r="J105" s="512"/>
      <c r="K105" s="514"/>
      <c r="L105" s="598"/>
      <c r="M105" s="599"/>
      <c r="N105" s="600"/>
      <c r="O105" s="601"/>
      <c r="P105" s="595"/>
      <c r="Q105" s="596"/>
      <c r="R105" s="595"/>
    </row>
    <row r="106" spans="1:18" s="590" customFormat="1" ht="38.25">
      <c r="A106" s="719" t="s">
        <v>378</v>
      </c>
      <c r="B106" s="668" t="s">
        <v>49</v>
      </c>
      <c r="C106" s="719">
        <v>100725</v>
      </c>
      <c r="D106" s="670" t="str">
        <f>IFERROR(VLOOKUP(C106,[4]planilhanull!$G$7:$L$6879,2,FALSE),IFERROR(VLOOKUP(C106,[5]JANEIRO_21!$A$9:$E$1593,2,FALSE),IFERROR(VLOOKUP(C106,[6]sheet1!$A$8:$E$5245,2,FALSE),0)))</f>
        <v>PINTURA COM TINTA ALQUÍDICA DE FUNDO E ACABAMENTO (ESMALTE SINTÉTICO GRAFITE) PULVERIZADA SOBRE SUPERFÍCIES METÁLICAS (EXCETO PERFIL) EXECUTADO EM OBRA (POR DEMÃO). AF_01/2020_P</v>
      </c>
      <c r="E106" s="671" t="str">
        <f>IFERROR(VLOOKUP(C106,[4]planilhanull!$G$7:$L$6879,3,FALSE),IFERROR(VLOOKUP(C106,[5]JANEIRO_21!$A$9:$E$1593,2,FALSE),IFERROR(VLOOKUP(C106,[6]sheet1!$A$9:$E$5245,3,FALSE),0)))</f>
        <v>M2</v>
      </c>
      <c r="F106" s="720">
        <f>'MEMÓRIA DE CÁLCULO'!H88</f>
        <v>129.22</v>
      </c>
      <c r="G106" s="721" t="s">
        <v>231</v>
      </c>
      <c r="H106" s="713"/>
      <c r="I106" s="720"/>
      <c r="J106" s="720"/>
      <c r="K106" s="722"/>
      <c r="L106" s="598"/>
      <c r="M106" s="599"/>
      <c r="N106" s="600"/>
      <c r="O106" s="601"/>
      <c r="P106" s="595"/>
      <c r="Q106" s="596"/>
      <c r="R106" s="595"/>
    </row>
    <row r="107" spans="1:18">
      <c r="A107" s="397"/>
      <c r="B107" s="398"/>
      <c r="C107" s="380"/>
      <c r="D107" s="226"/>
      <c r="E107" s="233"/>
      <c r="F107" s="236"/>
      <c r="G107" s="235"/>
      <c r="H107" s="236"/>
      <c r="I107" s="238" t="s">
        <v>379</v>
      </c>
      <c r="J107" s="239">
        <f>SUM(J101:J106)</f>
        <v>0</v>
      </c>
      <c r="K107" s="240">
        <f>SUM(K101:K106)</f>
        <v>0</v>
      </c>
      <c r="L107" s="538"/>
      <c r="M107" s="203"/>
      <c r="N107" s="399"/>
      <c r="O107" s="400"/>
      <c r="Q107" s="291"/>
    </row>
    <row r="108" spans="1:18" ht="15.75" customHeight="1">
      <c r="A108" s="378"/>
      <c r="B108" s="379"/>
      <c r="C108" s="380"/>
      <c r="D108" s="380"/>
      <c r="E108" s="233"/>
      <c r="F108" s="236"/>
      <c r="G108" s="235"/>
      <c r="H108" s="236"/>
      <c r="I108" s="229" t="s">
        <v>380</v>
      </c>
      <c r="J108" s="229">
        <f>J107</f>
        <v>0</v>
      </c>
      <c r="K108" s="240" t="e">
        <f>J108/$J$127</f>
        <v>#DIV/0!</v>
      </c>
      <c r="L108" s="538"/>
      <c r="M108" s="203"/>
      <c r="N108" s="399"/>
      <c r="O108" s="400"/>
      <c r="Q108" s="291"/>
    </row>
    <row r="109" spans="1:18">
      <c r="A109" s="378"/>
      <c r="B109" s="379"/>
      <c r="C109" s="380"/>
      <c r="D109" s="380"/>
      <c r="E109" s="233"/>
      <c r="F109" s="236"/>
      <c r="G109" s="235"/>
      <c r="H109" s="236"/>
      <c r="I109" s="227" t="s">
        <v>250</v>
      </c>
      <c r="J109" s="227">
        <f>J108+J99+J87+J70+J65+J56+J47+J40+J26</f>
        <v>0</v>
      </c>
      <c r="K109" s="240" t="e">
        <f>J109/$J$127</f>
        <v>#DIV/0!</v>
      </c>
      <c r="L109" s="538"/>
      <c r="M109" s="203"/>
      <c r="N109" s="399"/>
      <c r="O109" s="400"/>
      <c r="Q109" s="291"/>
    </row>
    <row r="110" spans="1:18" ht="14.25">
      <c r="A110" s="357" t="s">
        <v>254</v>
      </c>
      <c r="B110" s="358"/>
      <c r="C110" s="359"/>
      <c r="D110" s="359" t="s">
        <v>256</v>
      </c>
      <c r="E110" s="359"/>
      <c r="F110" s="360"/>
      <c r="G110" s="361"/>
      <c r="H110" s="362"/>
      <c r="I110" s="362"/>
      <c r="J110" s="362"/>
      <c r="K110" s="363"/>
      <c r="L110" s="538"/>
      <c r="M110" s="203"/>
      <c r="N110" s="399"/>
      <c r="O110" s="400"/>
      <c r="Q110" s="291"/>
    </row>
    <row r="111" spans="1:18" ht="38.25">
      <c r="A111" s="715" t="s">
        <v>269</v>
      </c>
      <c r="B111" s="207" t="s">
        <v>173</v>
      </c>
      <c r="C111" s="715">
        <v>1801000120</v>
      </c>
      <c r="D111" s="608" t="str">
        <f>IFERROR(VLOOKUP(C111,[4]planilhanull!$G$7:$L$6879,2,FALSE),IFERROR(VLOOKUP(C111,[5]JANEIRO_21!$A$9:$E$1593,2,FALSE),IFERROR(VLOOKUP(C111,[6]sheet1!$A$8:$E$5245,2,FALSE),0)))</f>
        <v>ESPELHO CRISTAL, ESPESSURA 4MM FIXADO COM BOTAO FRANCES DE PLASTICO CROMADO, PARAFUSO E BUCHA, SEM MOLDURA - FORNECIMENTO E INSTALACAO /M2</v>
      </c>
      <c r="E111" s="205" t="s">
        <v>11</v>
      </c>
      <c r="F111" s="716">
        <f>'MEMÓRIA DE CÁLCULO'!H90</f>
        <v>7.36</v>
      </c>
      <c r="G111" s="717" t="s">
        <v>230</v>
      </c>
      <c r="H111" s="714"/>
      <c r="I111" s="716"/>
      <c r="J111" s="716"/>
      <c r="K111" s="718"/>
      <c r="L111" s="538"/>
      <c r="M111" s="203"/>
      <c r="N111" s="399"/>
      <c r="O111" s="400"/>
      <c r="Q111" s="291"/>
    </row>
    <row r="112" spans="1:18">
      <c r="A112" s="511" t="s">
        <v>273</v>
      </c>
      <c r="B112" s="157" t="s">
        <v>173</v>
      </c>
      <c r="C112" s="511">
        <v>801000121</v>
      </c>
      <c r="D112" s="607" t="str">
        <f>IFERROR(VLOOKUP(C112,[4]planilhanull!$G$7:$L$6879,2,FALSE),IFERROR(VLOOKUP(C112,[5]JANEIRO_21!$A$9:$E$1593,2,FALSE),IFERROR(VLOOKUP(C112,[6]sheet1!$A$8:$E$5245,2,FALSE),0)))</f>
        <v>REPAROS EM RACHADURAS /M</v>
      </c>
      <c r="E112" s="13" t="s">
        <v>336</v>
      </c>
      <c r="F112" s="512">
        <f>'MEMÓRIA DE CÁLCULO'!H91</f>
        <v>20</v>
      </c>
      <c r="G112" s="513" t="s">
        <v>230</v>
      </c>
      <c r="H112" s="710"/>
      <c r="I112" s="512"/>
      <c r="J112" s="512"/>
      <c r="K112" s="514"/>
      <c r="L112" s="538"/>
      <c r="M112" s="203"/>
      <c r="N112" s="399"/>
      <c r="O112" s="400"/>
      <c r="Q112" s="291"/>
    </row>
    <row r="113" spans="1:18" s="615" customFormat="1" ht="25.5">
      <c r="A113" s="511" t="s">
        <v>362</v>
      </c>
      <c r="B113" s="157" t="s">
        <v>177</v>
      </c>
      <c r="C113" s="511" t="str">
        <f>COMPOSIÇÕES!A34</f>
        <v>CMP 04</v>
      </c>
      <c r="D113" s="607" t="str">
        <f>COMPOSIÇÕES!C34</f>
        <v>ABRIGO PARA CENTRAL DE GLP EM ALVENARIA COM LAJE EM CONCRETO ARMADO - 2,001,00X2,00</v>
      </c>
      <c r="E113" s="13" t="str">
        <f>COMPOSIÇÕES!G34</f>
        <v>UN</v>
      </c>
      <c r="F113" s="512">
        <f>'MEMÓRIA DE CÁLCULO'!H92</f>
        <v>1</v>
      </c>
      <c r="G113" s="513" t="s">
        <v>230</v>
      </c>
      <c r="H113" s="695"/>
      <c r="I113" s="512"/>
      <c r="J113" s="512"/>
      <c r="K113" s="514"/>
      <c r="L113" s="609"/>
      <c r="M113" s="610"/>
      <c r="N113" s="611"/>
      <c r="O113" s="612"/>
      <c r="P113" s="613"/>
      <c r="Q113" s="614"/>
      <c r="R113" s="613"/>
    </row>
    <row r="114" spans="1:18" s="615" customFormat="1" ht="25.5">
      <c r="A114" s="719" t="s">
        <v>361</v>
      </c>
      <c r="B114" s="668" t="s">
        <v>177</v>
      </c>
      <c r="C114" s="719" t="s">
        <v>325</v>
      </c>
      <c r="D114" s="670" t="str">
        <f>COMPOSIÇÕES!C72</f>
        <v>PLACA DE INAUGURACAO METALICA COM DIMENSÃO *40* CM X *60* CM - INSTALAÇÃO E FORNECIMENTO</v>
      </c>
      <c r="E114" s="671" t="str">
        <f>COMPOSIÇÕES!G72</f>
        <v>UN</v>
      </c>
      <c r="F114" s="720">
        <f>'MEMÓRIA DE CÁLCULO'!H93</f>
        <v>1</v>
      </c>
      <c r="G114" s="721" t="s">
        <v>230</v>
      </c>
      <c r="H114" s="697"/>
      <c r="I114" s="720"/>
      <c r="J114" s="720"/>
      <c r="K114" s="722"/>
      <c r="L114" s="609"/>
      <c r="M114" s="610"/>
      <c r="N114" s="611"/>
      <c r="O114" s="612"/>
      <c r="P114" s="613"/>
      <c r="Q114" s="614"/>
      <c r="R114" s="613"/>
    </row>
    <row r="115" spans="1:18">
      <c r="A115" s="387"/>
      <c r="B115" s="388"/>
      <c r="C115" s="389"/>
      <c r="D115" s="389"/>
      <c r="E115" s="390"/>
      <c r="F115" s="234"/>
      <c r="G115" s="391"/>
      <c r="H115" s="234"/>
      <c r="I115" s="227" t="s">
        <v>257</v>
      </c>
      <c r="J115" s="227">
        <f>SUM(J111:J114)</f>
        <v>0</v>
      </c>
      <c r="K115" s="228">
        <f>SUM(K111:K114)</f>
        <v>0</v>
      </c>
      <c r="L115" s="538"/>
      <c r="M115" s="203"/>
      <c r="N115" s="399"/>
      <c r="O115" s="400"/>
      <c r="Q115" s="291"/>
    </row>
    <row r="116" spans="1:18">
      <c r="A116" s="387"/>
      <c r="B116" s="388"/>
      <c r="C116" s="389"/>
      <c r="D116" s="389"/>
      <c r="E116" s="390"/>
      <c r="F116" s="234"/>
      <c r="G116" s="391"/>
      <c r="H116" s="234"/>
      <c r="I116" s="227" t="s">
        <v>258</v>
      </c>
      <c r="J116" s="227">
        <f>J115</f>
        <v>0</v>
      </c>
      <c r="K116" s="240" t="e">
        <f>J116/$J$127</f>
        <v>#DIV/0!</v>
      </c>
      <c r="L116" s="538"/>
      <c r="M116" s="203"/>
      <c r="N116" s="399"/>
      <c r="O116" s="400"/>
      <c r="Q116" s="291"/>
    </row>
    <row r="117" spans="1:18" ht="14.25">
      <c r="A117" s="357" t="s">
        <v>135</v>
      </c>
      <c r="B117" s="358"/>
      <c r="C117" s="359"/>
      <c r="D117" s="359" t="s">
        <v>225</v>
      </c>
      <c r="E117" s="359"/>
      <c r="F117" s="360"/>
      <c r="G117" s="361"/>
      <c r="H117" s="362"/>
      <c r="I117" s="362"/>
      <c r="J117" s="362"/>
      <c r="K117" s="363"/>
      <c r="L117" s="538"/>
      <c r="M117" s="203"/>
      <c r="N117" s="399"/>
      <c r="O117" s="400"/>
      <c r="Q117" s="291"/>
    </row>
    <row r="118" spans="1:18" ht="25.5">
      <c r="A118" s="715" t="s">
        <v>238</v>
      </c>
      <c r="B118" s="207" t="s">
        <v>49</v>
      </c>
      <c r="C118" s="715">
        <v>90777</v>
      </c>
      <c r="D118" s="608" t="str">
        <f>IFERROR(VLOOKUP(C118,[4]planilhanull!$G$7:$L$6879,2,FALSE),IFERROR(VLOOKUP(C118,[5]JANEIRO_21!$A$9:$E$1593,2,FALSE),IFERROR(VLOOKUP(C118,[6]sheet1!$A$8:$E$5245,2,FALSE),0)))</f>
        <v>ENGENHEIRO CIVIL DE OBRA JUNIOR COM ENCARGOS COMPLEMENTARES</v>
      </c>
      <c r="E118" s="205" t="str">
        <f>IFERROR(VLOOKUP(C118,[4]planilhanull!$G$7:$L$6879,3,FALSE),IFERROR(VLOOKUP(C118,[5]JANEIRO_21!$A$9:$E$1593,2,FALSE),IFERROR(VLOOKUP(C118,[6]sheet1!$A$9:$E$5245,3,FALSE),0)))</f>
        <v>H</v>
      </c>
      <c r="F118" s="716">
        <f>'MEMÓRIA DE CÁLCULO'!H95</f>
        <v>144</v>
      </c>
      <c r="G118" s="717" t="s">
        <v>226</v>
      </c>
      <c r="H118" s="714"/>
      <c r="I118" s="716"/>
      <c r="J118" s="716"/>
      <c r="K118" s="718"/>
      <c r="L118" s="538"/>
      <c r="M118" s="203"/>
      <c r="N118" s="399"/>
      <c r="O118" s="400"/>
      <c r="Q118" s="291"/>
    </row>
    <row r="119" spans="1:18" ht="25.5">
      <c r="A119" s="719" t="s">
        <v>239</v>
      </c>
      <c r="B119" s="668" t="s">
        <v>49</v>
      </c>
      <c r="C119" s="719">
        <v>90780</v>
      </c>
      <c r="D119" s="670" t="str">
        <f>IFERROR(VLOOKUP(C119,[4]planilhanull!$G$7:$L$6879,2,FALSE),IFERROR(VLOOKUP(C119,[5]JANEIRO_21!$A$9:$E$1593,2,FALSE),IFERROR(VLOOKUP(C119,[6]sheet1!$A$8:$E$5245,2,FALSE),0)))</f>
        <v>MESTRE DE OBRAS COM ENCARGOS COMPLEMENTARES</v>
      </c>
      <c r="E119" s="671" t="str">
        <f>IFERROR(VLOOKUP(C119,[4]planilhanull!$G$7:$L$6879,3,FALSE),IFERROR(VLOOKUP(C119,[5]JANEIRO_21!$A$9:$E$1593,2,FALSE),IFERROR(VLOOKUP(C119,[6]sheet1!$A$9:$E$5245,3,FALSE),0)))</f>
        <v>H</v>
      </c>
      <c r="F119" s="720">
        <f>'MEMÓRIA DE CÁLCULO'!H96</f>
        <v>320</v>
      </c>
      <c r="G119" s="721" t="s">
        <v>227</v>
      </c>
      <c r="H119" s="713"/>
      <c r="I119" s="720"/>
      <c r="J119" s="720"/>
      <c r="K119" s="722"/>
      <c r="L119" s="538"/>
      <c r="M119" s="203"/>
      <c r="N119" s="399"/>
      <c r="O119" s="400"/>
      <c r="Q119" s="291"/>
    </row>
    <row r="120" spans="1:18">
      <c r="A120" s="387"/>
      <c r="B120" s="388"/>
      <c r="C120" s="389"/>
      <c r="D120" s="389"/>
      <c r="E120" s="390"/>
      <c r="F120" s="234"/>
      <c r="G120" s="391"/>
      <c r="H120" s="234"/>
      <c r="I120" s="227" t="s">
        <v>139</v>
      </c>
      <c r="J120" s="227">
        <f>SUM(J118:J119)</f>
        <v>0</v>
      </c>
      <c r="K120" s="228">
        <f>SUM(K118:K119)</f>
        <v>0</v>
      </c>
      <c r="L120" s="538"/>
      <c r="M120" s="203"/>
      <c r="N120" s="399"/>
      <c r="O120" s="400"/>
      <c r="Q120" s="291"/>
    </row>
    <row r="121" spans="1:18">
      <c r="A121" s="387"/>
      <c r="B121" s="388"/>
      <c r="C121" s="389"/>
      <c r="D121" s="389"/>
      <c r="E121" s="390"/>
      <c r="F121" s="234"/>
      <c r="G121" s="391"/>
      <c r="H121" s="234"/>
      <c r="I121" s="227" t="s">
        <v>223</v>
      </c>
      <c r="J121" s="227">
        <f>SUM(J118:J120)/2</f>
        <v>0</v>
      </c>
      <c r="K121" s="240" t="e">
        <f>J121/$J$127</f>
        <v>#DIV/0!</v>
      </c>
      <c r="L121" s="538"/>
      <c r="M121" s="203"/>
      <c r="N121" s="399"/>
      <c r="O121" s="400"/>
      <c r="Q121" s="291"/>
    </row>
    <row r="122" spans="1:18" ht="14.25">
      <c r="A122" s="357" t="s">
        <v>136</v>
      </c>
      <c r="B122" s="358"/>
      <c r="C122" s="359"/>
      <c r="D122" s="359" t="s">
        <v>137</v>
      </c>
      <c r="E122" s="359"/>
      <c r="F122" s="360"/>
      <c r="G122" s="361"/>
      <c r="H122" s="362"/>
      <c r="I122" s="362"/>
      <c r="J122" s="362"/>
      <c r="K122" s="363"/>
      <c r="L122" s="538"/>
      <c r="M122" s="203"/>
      <c r="N122" s="399"/>
      <c r="O122" s="400"/>
      <c r="Q122" s="291"/>
    </row>
    <row r="123" spans="1:18" ht="25.5">
      <c r="A123" s="715" t="s">
        <v>240</v>
      </c>
      <c r="B123" s="207" t="s">
        <v>49</v>
      </c>
      <c r="C123" s="715">
        <v>99806</v>
      </c>
      <c r="D123" s="608" t="str">
        <f>IFERROR(VLOOKUP(C123,[4]planilhanull!$G$7:$L$6879,2,FALSE),IFERROR(VLOOKUP(C123,[5]JANEIRO_21!$A$9:$E$1593,2,FALSE),IFERROR(VLOOKUP(C123,[6]sheet1!$A$8:$E$5245,2,FALSE),0)))</f>
        <v>LIMPEZA DE REVESTIMENTO CERÂMICO EM PAREDE COM PANO ÚMIDO AF_04/2019</v>
      </c>
      <c r="E123" s="205" t="str">
        <f>IFERROR(VLOOKUP(C123,[4]planilhanull!$G$7:$L$6879,3,FALSE),IFERROR(VLOOKUP(C123,[5]JANEIRO_21!$A$9:$E$1593,2,FALSE),IFERROR(VLOOKUP(C123,[6]sheet1!$A$9:$E$5245,3,FALSE),0)))</f>
        <v>M2</v>
      </c>
      <c r="F123" s="716">
        <f>'MEMÓRIA DE CÁLCULO'!H98</f>
        <v>204.66</v>
      </c>
      <c r="G123" s="717" t="s">
        <v>221</v>
      </c>
      <c r="H123" s="714"/>
      <c r="I123" s="716"/>
      <c r="J123" s="716"/>
      <c r="K123" s="718"/>
      <c r="L123" s="538"/>
      <c r="M123" s="203"/>
      <c r="N123" s="399"/>
      <c r="O123" s="400"/>
      <c r="Q123" s="291"/>
    </row>
    <row r="124" spans="1:18">
      <c r="A124" s="719" t="s">
        <v>241</v>
      </c>
      <c r="B124" s="668" t="s">
        <v>49</v>
      </c>
      <c r="C124" s="719">
        <v>99814</v>
      </c>
      <c r="D124" s="670" t="str">
        <f>IFERROR(VLOOKUP(C124,[4]planilhanull!$G$7:$L$6879,2,FALSE),IFERROR(VLOOKUP(C124,[5]JANEIRO_21!$A$9:$E$1593,2,FALSE),IFERROR(VLOOKUP(C124,[6]sheet1!$A$8:$E$5245,2,FALSE),0)))</f>
        <v>LIMPEZA DE SUPERFÍCIE COM JATO DE ALTA PRESSÃO. AF_04/2019</v>
      </c>
      <c r="E124" s="671" t="str">
        <f>IFERROR(VLOOKUP(C124,[4]planilhanull!$G$7:$L$6879,3,FALSE),IFERROR(VLOOKUP(C124,[5]JANEIRO_21!$A$9:$E$1593,2,FALSE),IFERROR(VLOOKUP(C124,[6]sheet1!$A$9:$E$5245,3,FALSE),0)))</f>
        <v>M2</v>
      </c>
      <c r="F124" s="720">
        <f>'MEMÓRIA DE CÁLCULO'!H99</f>
        <v>204.66</v>
      </c>
      <c r="G124" s="721" t="s">
        <v>222</v>
      </c>
      <c r="H124" s="713"/>
      <c r="I124" s="720"/>
      <c r="J124" s="720"/>
      <c r="K124" s="722"/>
      <c r="L124" s="538"/>
      <c r="M124" s="203"/>
      <c r="N124" s="399"/>
      <c r="O124" s="400"/>
      <c r="Q124" s="291"/>
    </row>
    <row r="125" spans="1:18">
      <c r="A125" s="387"/>
      <c r="B125" s="388"/>
      <c r="C125" s="389"/>
      <c r="D125" s="389"/>
      <c r="E125" s="390"/>
      <c r="F125" s="234"/>
      <c r="G125" s="391"/>
      <c r="H125" s="234"/>
      <c r="I125" s="227" t="s">
        <v>138</v>
      </c>
      <c r="J125" s="227">
        <f>SUM(J123:J124)</f>
        <v>0</v>
      </c>
      <c r="K125" s="228">
        <f>SUM(K123:K124)</f>
        <v>0</v>
      </c>
      <c r="L125" s="538"/>
      <c r="M125" s="203"/>
      <c r="N125" s="399"/>
      <c r="O125" s="400"/>
      <c r="Q125" s="291"/>
    </row>
    <row r="126" spans="1:18">
      <c r="A126" s="372"/>
      <c r="B126" s="373"/>
      <c r="C126" s="374"/>
      <c r="D126" s="374"/>
      <c r="E126" s="375"/>
      <c r="F126" s="376"/>
      <c r="G126" s="377"/>
      <c r="H126" s="376"/>
      <c r="I126" s="229" t="s">
        <v>224</v>
      </c>
      <c r="J126" s="229">
        <f>SUM(J123:J125)/2</f>
        <v>0</v>
      </c>
      <c r="K126" s="240" t="e">
        <f>J126/$J$127</f>
        <v>#DIV/0!</v>
      </c>
      <c r="L126" s="538"/>
      <c r="N126" s="399"/>
      <c r="O126" s="400"/>
      <c r="Q126" s="291"/>
    </row>
    <row r="127" spans="1:18" ht="18">
      <c r="A127" s="926" t="s">
        <v>41</v>
      </c>
      <c r="B127" s="927"/>
      <c r="C127" s="927"/>
      <c r="D127" s="927"/>
      <c r="E127" s="927"/>
      <c r="F127" s="927"/>
      <c r="G127" s="927"/>
      <c r="H127" s="927"/>
      <c r="I127" s="927"/>
      <c r="J127" s="928">
        <f>J126+J121+J116+J109+J18</f>
        <v>0</v>
      </c>
      <c r="K127" s="929"/>
      <c r="L127" s="538"/>
      <c r="M127" s="573">
        <v>422054.32</v>
      </c>
      <c r="N127" s="399"/>
      <c r="O127" s="400"/>
      <c r="Q127" s="291"/>
    </row>
    <row r="128" spans="1:18">
      <c r="A128" s="403"/>
      <c r="B128" s="325"/>
      <c r="C128" s="404"/>
      <c r="D128" s="325"/>
      <c r="E128" s="404"/>
      <c r="F128" s="405"/>
      <c r="G128" s="406"/>
      <c r="H128" s="405"/>
      <c r="I128" s="407"/>
      <c r="J128" s="407"/>
      <c r="K128" s="408"/>
      <c r="L128" s="538"/>
      <c r="M128" s="203"/>
      <c r="N128" s="399"/>
      <c r="O128" s="400"/>
      <c r="Q128" s="291"/>
    </row>
    <row r="129" spans="1:17">
      <c r="A129" s="403"/>
      <c r="B129" s="325"/>
      <c r="C129" s="409"/>
      <c r="D129" s="243"/>
      <c r="E129" s="409"/>
      <c r="F129" s="281"/>
      <c r="G129" s="410"/>
      <c r="H129" s="281"/>
      <c r="I129" s="411"/>
      <c r="J129" s="675"/>
      <c r="K129" s="408"/>
      <c r="L129" s="538"/>
      <c r="M129" s="203"/>
      <c r="N129" s="399"/>
      <c r="O129" s="400"/>
      <c r="Q129" s="291"/>
    </row>
    <row r="130" spans="1:17">
      <c r="A130" s="246"/>
      <c r="B130" s="435"/>
      <c r="C130" s="435"/>
      <c r="D130" s="243"/>
      <c r="E130" s="242"/>
      <c r="F130" s="245"/>
      <c r="G130" s="247"/>
      <c r="H130" s="244"/>
      <c r="I130" s="245"/>
      <c r="J130" s="245"/>
      <c r="K130" s="326"/>
      <c r="L130" s="538"/>
      <c r="M130" s="203"/>
      <c r="N130" s="399"/>
      <c r="O130" s="400"/>
      <c r="Q130" s="291"/>
    </row>
    <row r="131" spans="1:17">
      <c r="A131" s="413"/>
      <c r="B131" s="243"/>
      <c r="C131" s="243"/>
      <c r="D131" s="243"/>
      <c r="E131" s="409"/>
      <c r="F131" s="411"/>
      <c r="G131" s="412"/>
      <c r="H131" s="281"/>
      <c r="I131" s="411"/>
      <c r="J131" s="411"/>
      <c r="K131" s="408"/>
      <c r="L131" s="538"/>
      <c r="M131" s="203"/>
      <c r="N131" s="399"/>
      <c r="O131" s="400"/>
      <c r="Q131" s="291"/>
    </row>
    <row r="132" spans="1:17">
      <c r="A132" s="413"/>
      <c r="B132" s="243"/>
      <c r="C132" s="243"/>
      <c r="D132" s="243"/>
      <c r="E132" s="409"/>
      <c r="F132" s="411"/>
      <c r="G132" s="412"/>
      <c r="H132" s="281"/>
      <c r="I132" s="411"/>
      <c r="J132" s="411"/>
      <c r="K132" s="408"/>
      <c r="L132" s="538"/>
      <c r="M132" s="203">
        <f>J127-M127</f>
        <v>-422054.32</v>
      </c>
      <c r="N132" s="399"/>
      <c r="O132" s="400"/>
      <c r="Q132" s="291"/>
    </row>
    <row r="133" spans="1:17" ht="15.75">
      <c r="A133" s="934"/>
      <c r="B133" s="935"/>
      <c r="C133" s="935"/>
      <c r="D133" s="935"/>
      <c r="E133" s="935"/>
      <c r="F133" s="935"/>
      <c r="G133" s="935"/>
      <c r="H133" s="935"/>
      <c r="I133" s="935"/>
      <c r="J133" s="935"/>
      <c r="K133" s="936"/>
      <c r="L133" s="538"/>
      <c r="M133" s="203"/>
      <c r="N133" s="399"/>
      <c r="O133" s="400"/>
      <c r="Q133" s="291"/>
    </row>
    <row r="134" spans="1:17" ht="15.75">
      <c r="A134" s="940"/>
      <c r="B134" s="941"/>
      <c r="C134" s="941"/>
      <c r="D134" s="941"/>
      <c r="E134" s="941"/>
      <c r="F134" s="941"/>
      <c r="G134" s="941"/>
      <c r="H134" s="941"/>
      <c r="I134" s="941"/>
      <c r="J134" s="941"/>
      <c r="K134" s="942"/>
      <c r="L134" s="538"/>
      <c r="M134" s="203"/>
      <c r="N134" s="399"/>
      <c r="O134" s="400"/>
      <c r="Q134" s="291"/>
    </row>
    <row r="135" spans="1:17" ht="15.75">
      <c r="A135" s="937"/>
      <c r="B135" s="938"/>
      <c r="C135" s="938"/>
      <c r="D135" s="938"/>
      <c r="E135" s="938"/>
      <c r="F135" s="938"/>
      <c r="G135" s="938"/>
      <c r="H135" s="938"/>
      <c r="I135" s="938"/>
      <c r="J135" s="938"/>
      <c r="K135" s="939"/>
      <c r="L135" s="538"/>
      <c r="M135" s="203"/>
      <c r="N135" s="399"/>
      <c r="O135" s="400"/>
      <c r="Q135" s="291"/>
    </row>
    <row r="136" spans="1:17" ht="15.75">
      <c r="A136" s="923"/>
      <c r="B136" s="924"/>
      <c r="C136" s="924"/>
      <c r="D136" s="924"/>
      <c r="E136" s="924"/>
      <c r="F136" s="924"/>
      <c r="G136" s="924"/>
      <c r="H136" s="924"/>
      <c r="I136" s="924"/>
      <c r="J136" s="924"/>
      <c r="K136" s="925"/>
      <c r="L136" s="538"/>
      <c r="M136" s="203"/>
      <c r="N136" s="399"/>
      <c r="O136" s="400"/>
      <c r="Q136" s="291"/>
    </row>
    <row r="137" spans="1:17">
      <c r="A137" s="414"/>
      <c r="B137" s="415"/>
      <c r="C137" s="415"/>
      <c r="D137" s="416"/>
      <c r="E137" s="415"/>
      <c r="F137" s="417"/>
      <c r="G137" s="418"/>
      <c r="H137" s="419"/>
      <c r="I137" s="419"/>
      <c r="J137" s="419"/>
      <c r="K137" s="420"/>
      <c r="L137" s="538"/>
      <c r="M137" s="203"/>
      <c r="N137" s="399"/>
      <c r="O137" s="400"/>
      <c r="Q137" s="291"/>
    </row>
    <row r="138" spans="1:17">
      <c r="L138" s="538"/>
      <c r="M138" s="203"/>
      <c r="N138" s="399"/>
      <c r="O138" s="400"/>
      <c r="Q138" s="291"/>
    </row>
    <row r="139" spans="1:17">
      <c r="L139" s="538"/>
      <c r="M139" s="203"/>
      <c r="N139" s="399"/>
      <c r="O139" s="400"/>
      <c r="Q139" s="291"/>
    </row>
    <row r="140" spans="1:17">
      <c r="A140" s="3"/>
      <c r="B140" s="3"/>
      <c r="C140" s="424"/>
      <c r="D140" s="3"/>
      <c r="E140" s="424"/>
      <c r="F140" s="425"/>
      <c r="G140" s="426"/>
      <c r="H140" s="425"/>
      <c r="I140" s="427"/>
      <c r="J140" s="427"/>
      <c r="K140" s="401"/>
      <c r="L140" s="538"/>
      <c r="M140" s="203"/>
      <c r="N140" s="399"/>
      <c r="O140" s="400"/>
      <c r="Q140" s="291"/>
    </row>
    <row r="141" spans="1:17">
      <c r="C141" s="428"/>
      <c r="E141" s="428"/>
      <c r="F141" s="429"/>
      <c r="G141" s="430"/>
      <c r="H141" s="429"/>
      <c r="I141" s="421"/>
      <c r="J141" s="421"/>
      <c r="K141" s="401"/>
      <c r="L141" s="538"/>
      <c r="M141" s="203"/>
      <c r="N141" s="399"/>
      <c r="O141" s="400"/>
      <c r="Q141" s="291"/>
    </row>
    <row r="142" spans="1:17">
      <c r="C142" s="428"/>
      <c r="E142" s="428"/>
      <c r="F142" s="429"/>
      <c r="G142" s="430"/>
      <c r="H142" s="429"/>
      <c r="I142" s="421"/>
      <c r="J142" s="421"/>
      <c r="K142" s="401"/>
      <c r="L142" s="538"/>
      <c r="M142" s="203"/>
      <c r="N142" s="399"/>
      <c r="O142" s="400"/>
      <c r="Q142" s="291"/>
    </row>
    <row r="143" spans="1:17">
      <c r="C143" s="428"/>
      <c r="E143" s="428"/>
      <c r="F143" s="429"/>
      <c r="G143" s="430"/>
      <c r="H143" s="429"/>
      <c r="I143" s="421"/>
      <c r="J143" s="421"/>
      <c r="K143" s="401"/>
      <c r="L143" s="538"/>
      <c r="M143" s="203"/>
      <c r="N143" s="399"/>
      <c r="O143" s="400"/>
      <c r="Q143" s="291"/>
    </row>
    <row r="144" spans="1:17">
      <c r="C144" s="428"/>
      <c r="E144" s="428"/>
      <c r="F144" s="429"/>
      <c r="G144" s="430"/>
      <c r="H144" s="429"/>
      <c r="I144" s="421"/>
      <c r="J144" s="421"/>
      <c r="K144" s="401"/>
      <c r="L144" s="538"/>
      <c r="M144" s="203"/>
      <c r="N144" s="399"/>
      <c r="O144" s="400"/>
      <c r="Q144" s="291"/>
    </row>
    <row r="145" spans="3:17">
      <c r="C145" s="428"/>
      <c r="E145" s="428"/>
      <c r="F145" s="429"/>
      <c r="G145" s="430"/>
      <c r="H145" s="429"/>
      <c r="I145" s="421"/>
      <c r="J145" s="421"/>
      <c r="K145" s="401"/>
      <c r="L145" s="538"/>
      <c r="M145" s="203"/>
      <c r="N145" s="399"/>
      <c r="O145" s="400"/>
      <c r="Q145" s="291"/>
    </row>
    <row r="146" spans="3:17">
      <c r="C146" s="428"/>
      <c r="E146" s="428"/>
      <c r="F146" s="429"/>
      <c r="G146" s="430"/>
      <c r="H146" s="429"/>
      <c r="I146" s="421"/>
      <c r="J146" s="421"/>
      <c r="K146" s="401"/>
      <c r="L146" s="538"/>
      <c r="M146" s="203"/>
      <c r="N146" s="399"/>
      <c r="O146" s="400"/>
      <c r="Q146" s="291"/>
    </row>
    <row r="147" spans="3:17">
      <c r="C147" s="428"/>
      <c r="E147" s="428"/>
      <c r="F147" s="429"/>
      <c r="G147" s="430"/>
      <c r="H147" s="429"/>
      <c r="I147" s="421"/>
      <c r="J147" s="421"/>
      <c r="K147" s="401"/>
      <c r="L147" s="538"/>
      <c r="M147" s="203"/>
      <c r="N147" s="399"/>
      <c r="O147" s="400"/>
      <c r="Q147" s="291"/>
    </row>
    <row r="148" spans="3:17">
      <c r="C148" s="428"/>
      <c r="E148" s="428"/>
      <c r="F148" s="429"/>
      <c r="G148" s="430"/>
      <c r="H148" s="429"/>
      <c r="I148" s="421"/>
      <c r="J148" s="421"/>
      <c r="K148" s="401"/>
      <c r="L148" s="538"/>
      <c r="M148" s="203"/>
      <c r="N148" s="399"/>
      <c r="O148" s="400"/>
      <c r="Q148" s="291"/>
    </row>
    <row r="149" spans="3:17">
      <c r="C149" s="428"/>
      <c r="E149" s="428"/>
      <c r="F149" s="429"/>
      <c r="G149" s="430"/>
      <c r="H149" s="429"/>
      <c r="I149" s="421"/>
      <c r="J149" s="421"/>
      <c r="K149" s="401"/>
      <c r="L149" s="538"/>
      <c r="M149" s="203"/>
      <c r="N149" s="399"/>
      <c r="O149" s="400"/>
      <c r="Q149" s="291"/>
    </row>
    <row r="150" spans="3:17">
      <c r="C150" s="428"/>
      <c r="E150" s="428"/>
      <c r="F150" s="429"/>
      <c r="G150" s="430"/>
      <c r="H150" s="429"/>
      <c r="I150" s="421"/>
      <c r="J150" s="421"/>
      <c r="K150" s="401"/>
      <c r="L150" s="538"/>
      <c r="M150" s="203"/>
      <c r="N150" s="399"/>
      <c r="O150" s="400"/>
      <c r="Q150" s="291"/>
    </row>
    <row r="151" spans="3:17">
      <c r="C151" s="428"/>
      <c r="E151" s="428"/>
      <c r="F151" s="429"/>
      <c r="G151" s="430"/>
      <c r="H151" s="429"/>
      <c r="I151" s="421"/>
      <c r="J151" s="421"/>
      <c r="K151" s="401"/>
      <c r="L151" s="538"/>
      <c r="M151" s="203"/>
      <c r="N151" s="399"/>
      <c r="O151" s="400"/>
      <c r="Q151" s="291"/>
    </row>
    <row r="152" spans="3:17">
      <c r="C152" s="428"/>
      <c r="E152" s="428"/>
      <c r="F152" s="429"/>
      <c r="G152" s="430"/>
      <c r="H152" s="429"/>
      <c r="I152" s="421"/>
      <c r="J152" s="421"/>
      <c r="K152" s="401"/>
      <c r="L152" s="538"/>
      <c r="M152" s="203"/>
      <c r="N152" s="399"/>
      <c r="O152" s="400"/>
      <c r="Q152" s="291"/>
    </row>
    <row r="153" spans="3:17">
      <c r="C153" s="428"/>
      <c r="E153" s="428"/>
      <c r="F153" s="429"/>
      <c r="G153" s="430"/>
      <c r="H153" s="429"/>
      <c r="I153" s="421"/>
      <c r="J153" s="421"/>
      <c r="K153" s="401"/>
      <c r="L153" s="538"/>
      <c r="M153" s="203"/>
      <c r="N153" s="399"/>
      <c r="O153" s="400"/>
      <c r="Q153" s="291"/>
    </row>
    <row r="154" spans="3:17">
      <c r="C154" s="428"/>
      <c r="E154" s="428"/>
      <c r="F154" s="429"/>
      <c r="G154" s="430"/>
      <c r="H154" s="429"/>
      <c r="I154" s="421"/>
      <c r="J154" s="421"/>
      <c r="K154" s="401"/>
      <c r="L154" s="538"/>
      <c r="M154" s="203"/>
      <c r="N154" s="399"/>
      <c r="O154" s="400"/>
      <c r="Q154" s="291"/>
    </row>
    <row r="155" spans="3:17">
      <c r="C155" s="428"/>
      <c r="E155" s="428"/>
      <c r="F155" s="429"/>
      <c r="G155" s="430"/>
      <c r="H155" s="429"/>
      <c r="I155" s="421"/>
      <c r="J155" s="421"/>
      <c r="K155" s="401"/>
      <c r="L155" s="538"/>
      <c r="M155" s="203"/>
      <c r="N155" s="399"/>
      <c r="O155" s="400"/>
      <c r="Q155" s="291"/>
    </row>
    <row r="156" spans="3:17">
      <c r="C156" s="428"/>
      <c r="E156" s="428"/>
      <c r="F156" s="429"/>
      <c r="G156" s="430"/>
      <c r="H156" s="429"/>
      <c r="I156" s="421"/>
      <c r="J156" s="421"/>
      <c r="K156" s="401"/>
      <c r="L156" s="538"/>
      <c r="M156" s="203"/>
      <c r="N156" s="399"/>
      <c r="O156" s="400"/>
      <c r="Q156" s="291"/>
    </row>
    <row r="157" spans="3:17">
      <c r="C157" s="428"/>
      <c r="E157" s="428"/>
      <c r="F157" s="429"/>
      <c r="G157" s="430"/>
      <c r="H157" s="429"/>
      <c r="I157" s="421"/>
      <c r="J157" s="421"/>
      <c r="K157" s="401"/>
      <c r="L157" s="538"/>
      <c r="M157" s="203"/>
      <c r="N157" s="399"/>
      <c r="O157" s="400"/>
      <c r="Q157" s="291"/>
    </row>
    <row r="158" spans="3:17">
      <c r="C158" s="428"/>
      <c r="E158" s="428"/>
      <c r="F158" s="429"/>
      <c r="G158" s="430"/>
      <c r="H158" s="429"/>
      <c r="I158" s="421"/>
      <c r="J158" s="421"/>
      <c r="K158" s="401"/>
      <c r="L158" s="538"/>
      <c r="M158" s="203"/>
      <c r="N158" s="399"/>
      <c r="O158" s="400"/>
      <c r="Q158" s="291"/>
    </row>
    <row r="159" spans="3:17">
      <c r="C159" s="428"/>
      <c r="E159" s="428"/>
      <c r="F159" s="429"/>
      <c r="G159" s="430"/>
      <c r="H159" s="429"/>
      <c r="I159" s="421"/>
      <c r="J159" s="421"/>
      <c r="K159" s="401"/>
      <c r="L159" s="538"/>
      <c r="M159" s="203"/>
      <c r="N159" s="399"/>
      <c r="O159" s="400"/>
      <c r="Q159" s="291"/>
    </row>
    <row r="160" spans="3:17">
      <c r="C160" s="428"/>
      <c r="E160" s="428"/>
      <c r="F160" s="429"/>
      <c r="G160" s="430"/>
      <c r="H160" s="429"/>
      <c r="I160" s="421"/>
      <c r="J160" s="421"/>
      <c r="K160" s="401"/>
      <c r="L160" s="538"/>
      <c r="M160" s="203"/>
      <c r="N160" s="399"/>
      <c r="O160" s="400"/>
      <c r="Q160" s="291"/>
    </row>
    <row r="161" spans="3:17">
      <c r="C161" s="428"/>
      <c r="E161" s="428"/>
      <c r="F161" s="429"/>
      <c r="G161" s="430"/>
      <c r="H161" s="429"/>
      <c r="I161" s="421"/>
      <c r="J161" s="421"/>
      <c r="K161" s="401"/>
      <c r="L161" s="538"/>
      <c r="M161" s="203"/>
      <c r="N161" s="399"/>
      <c r="O161" s="400"/>
      <c r="Q161" s="291"/>
    </row>
    <row r="162" spans="3:17">
      <c r="C162" s="428"/>
      <c r="E162" s="428"/>
      <c r="F162" s="429"/>
      <c r="G162" s="430"/>
      <c r="H162" s="429"/>
      <c r="I162" s="421"/>
      <c r="J162" s="421"/>
      <c r="K162" s="401"/>
      <c r="L162" s="538"/>
      <c r="M162" s="203"/>
      <c r="N162" s="399"/>
      <c r="O162" s="400"/>
      <c r="Q162" s="291"/>
    </row>
    <row r="163" spans="3:17">
      <c r="C163" s="428"/>
      <c r="E163" s="428"/>
      <c r="F163" s="429"/>
      <c r="G163" s="430"/>
      <c r="H163" s="429"/>
      <c r="I163" s="421"/>
      <c r="J163" s="421"/>
      <c r="K163" s="401"/>
      <c r="L163" s="538"/>
      <c r="M163" s="203"/>
      <c r="N163" s="399"/>
      <c r="O163" s="400"/>
      <c r="Q163" s="291"/>
    </row>
    <row r="164" spans="3:17">
      <c r="C164" s="428"/>
      <c r="E164" s="428"/>
      <c r="F164" s="429"/>
      <c r="G164" s="430"/>
      <c r="H164" s="429"/>
      <c r="I164" s="421"/>
      <c r="J164" s="421"/>
      <c r="K164" s="401"/>
      <c r="L164" s="538"/>
      <c r="M164" s="203"/>
      <c r="N164" s="399"/>
      <c r="O164" s="400"/>
      <c r="Q164" s="291"/>
    </row>
    <row r="165" spans="3:17">
      <c r="C165" s="428"/>
      <c r="E165" s="428"/>
      <c r="F165" s="429"/>
      <c r="G165" s="430"/>
      <c r="H165" s="429"/>
      <c r="I165" s="421"/>
      <c r="J165" s="421"/>
      <c r="K165" s="401"/>
      <c r="L165" s="538"/>
      <c r="M165" s="203"/>
      <c r="N165" s="399"/>
      <c r="O165" s="400"/>
      <c r="Q165" s="291"/>
    </row>
    <row r="166" spans="3:17">
      <c r="C166" s="428"/>
      <c r="E166" s="428"/>
      <c r="F166" s="429"/>
      <c r="G166" s="430"/>
      <c r="H166" s="429"/>
      <c r="I166" s="421"/>
      <c r="J166" s="421"/>
      <c r="K166" s="401"/>
      <c r="L166" s="538"/>
      <c r="M166" s="203"/>
      <c r="N166" s="399"/>
      <c r="O166" s="400"/>
      <c r="Q166" s="291"/>
    </row>
    <row r="167" spans="3:17">
      <c r="C167" s="428"/>
      <c r="E167" s="428"/>
      <c r="F167" s="429"/>
      <c r="G167" s="430"/>
      <c r="H167" s="429"/>
      <c r="I167" s="421"/>
      <c r="J167" s="421"/>
      <c r="K167" s="401"/>
      <c r="L167" s="538"/>
      <c r="M167" s="203"/>
      <c r="N167" s="399"/>
      <c r="O167" s="400"/>
      <c r="Q167" s="291"/>
    </row>
    <row r="168" spans="3:17">
      <c r="C168" s="428"/>
      <c r="E168" s="428"/>
      <c r="F168" s="429"/>
      <c r="G168" s="430"/>
      <c r="H168" s="429"/>
      <c r="I168" s="421"/>
      <c r="J168" s="421"/>
      <c r="K168" s="401"/>
      <c r="L168" s="538"/>
      <c r="M168" s="203"/>
      <c r="N168" s="399"/>
      <c r="O168" s="400"/>
      <c r="Q168" s="291"/>
    </row>
    <row r="169" spans="3:17">
      <c r="C169" s="428"/>
      <c r="E169" s="428"/>
      <c r="F169" s="429"/>
      <c r="G169" s="430"/>
      <c r="H169" s="429"/>
      <c r="I169" s="421"/>
      <c r="J169" s="421"/>
      <c r="K169" s="401"/>
      <c r="L169" s="538"/>
      <c r="M169" s="203"/>
      <c r="N169" s="399"/>
      <c r="O169" s="400"/>
      <c r="Q169" s="291"/>
    </row>
    <row r="170" spans="3:17">
      <c r="C170" s="428"/>
      <c r="E170" s="428"/>
      <c r="F170" s="429"/>
      <c r="G170" s="430"/>
      <c r="H170" s="429"/>
      <c r="I170" s="421"/>
      <c r="J170" s="421"/>
      <c r="K170" s="401"/>
      <c r="L170" s="538"/>
      <c r="M170" s="203"/>
      <c r="N170" s="399"/>
      <c r="O170" s="400"/>
      <c r="Q170" s="291"/>
    </row>
    <row r="171" spans="3:17">
      <c r="C171" s="428"/>
      <c r="E171" s="428"/>
      <c r="F171" s="429"/>
      <c r="G171" s="430"/>
      <c r="H171" s="429"/>
      <c r="I171" s="421"/>
      <c r="J171" s="421"/>
      <c r="K171" s="401"/>
      <c r="L171" s="538"/>
      <c r="M171" s="203"/>
      <c r="N171" s="399"/>
      <c r="O171" s="400"/>
      <c r="Q171" s="291"/>
    </row>
    <row r="172" spans="3:17">
      <c r="C172" s="428"/>
      <c r="E172" s="428"/>
      <c r="F172" s="429"/>
      <c r="G172" s="430"/>
      <c r="H172" s="429"/>
      <c r="I172" s="421"/>
      <c r="J172" s="421"/>
      <c r="K172" s="401"/>
      <c r="L172" s="538"/>
      <c r="M172" s="203"/>
      <c r="N172" s="399"/>
      <c r="O172" s="400"/>
      <c r="Q172" s="291"/>
    </row>
    <row r="173" spans="3:17">
      <c r="C173" s="428"/>
      <c r="E173" s="428"/>
      <c r="F173" s="429"/>
      <c r="G173" s="430"/>
      <c r="H173" s="429"/>
      <c r="I173" s="421"/>
      <c r="J173" s="421"/>
      <c r="K173" s="401"/>
      <c r="L173" s="538"/>
      <c r="M173" s="203"/>
      <c r="N173" s="399"/>
      <c r="O173" s="400"/>
      <c r="Q173" s="291"/>
    </row>
    <row r="174" spans="3:17">
      <c r="C174" s="428"/>
      <c r="E174" s="428"/>
      <c r="F174" s="429"/>
      <c r="G174" s="430"/>
      <c r="H174" s="429"/>
      <c r="I174" s="421"/>
      <c r="J174" s="421"/>
      <c r="K174" s="401"/>
      <c r="L174" s="538"/>
      <c r="M174" s="203"/>
      <c r="N174" s="399"/>
      <c r="O174" s="400"/>
      <c r="Q174" s="291"/>
    </row>
    <row r="175" spans="3:17">
      <c r="C175" s="428"/>
      <c r="E175" s="428"/>
      <c r="F175" s="429"/>
      <c r="G175" s="430"/>
      <c r="H175" s="429"/>
      <c r="I175" s="421"/>
      <c r="J175" s="421"/>
      <c r="K175" s="401"/>
      <c r="L175" s="538"/>
      <c r="M175" s="203"/>
      <c r="N175" s="399"/>
      <c r="O175" s="400"/>
      <c r="Q175" s="291"/>
    </row>
    <row r="176" spans="3:17">
      <c r="C176" s="428"/>
      <c r="E176" s="428"/>
      <c r="F176" s="429"/>
      <c r="G176" s="430"/>
      <c r="H176" s="429"/>
      <c r="I176" s="421"/>
      <c r="J176" s="421"/>
      <c r="K176" s="401"/>
      <c r="L176" s="538"/>
      <c r="M176" s="203"/>
      <c r="N176" s="399"/>
      <c r="O176" s="400"/>
      <c r="Q176" s="291"/>
    </row>
    <row r="177" spans="3:17">
      <c r="C177" s="428"/>
      <c r="E177" s="428"/>
      <c r="F177" s="429"/>
      <c r="G177" s="430"/>
      <c r="H177" s="429"/>
      <c r="I177" s="421"/>
      <c r="J177" s="421"/>
      <c r="K177" s="401"/>
      <c r="L177" s="538"/>
      <c r="M177" s="203"/>
      <c r="N177" s="399"/>
      <c r="O177" s="400"/>
      <c r="Q177" s="291"/>
    </row>
    <row r="178" spans="3:17">
      <c r="C178" s="428"/>
      <c r="E178" s="428"/>
      <c r="F178" s="429"/>
      <c r="G178" s="430"/>
      <c r="H178" s="429"/>
      <c r="I178" s="421"/>
      <c r="J178" s="421"/>
      <c r="K178" s="401"/>
      <c r="L178" s="538"/>
      <c r="M178" s="203"/>
      <c r="N178" s="399"/>
      <c r="O178" s="400"/>
      <c r="Q178" s="291"/>
    </row>
    <row r="179" spans="3:17">
      <c r="C179" s="428"/>
      <c r="E179" s="428"/>
      <c r="F179" s="429"/>
      <c r="G179" s="430"/>
      <c r="H179" s="429"/>
      <c r="I179" s="421"/>
      <c r="J179" s="421"/>
      <c r="K179" s="401"/>
      <c r="L179" s="538"/>
      <c r="M179" s="203"/>
      <c r="N179" s="399"/>
      <c r="O179" s="400"/>
      <c r="Q179" s="291"/>
    </row>
    <row r="180" spans="3:17">
      <c r="C180" s="428"/>
      <c r="E180" s="428"/>
      <c r="F180" s="429"/>
      <c r="G180" s="430"/>
      <c r="H180" s="429"/>
      <c r="I180" s="421"/>
      <c r="J180" s="421"/>
      <c r="K180" s="401"/>
      <c r="L180" s="538"/>
      <c r="M180" s="203"/>
      <c r="N180" s="399"/>
      <c r="O180" s="400"/>
      <c r="Q180" s="291"/>
    </row>
    <row r="181" spans="3:17">
      <c r="C181" s="428"/>
      <c r="E181" s="428"/>
      <c r="F181" s="429"/>
      <c r="G181" s="430"/>
      <c r="H181" s="429"/>
      <c r="I181" s="421"/>
      <c r="J181" s="421"/>
      <c r="K181" s="401"/>
      <c r="L181" s="538"/>
      <c r="M181" s="203"/>
      <c r="N181" s="399"/>
      <c r="O181" s="400"/>
      <c r="Q181" s="291"/>
    </row>
    <row r="182" spans="3:17">
      <c r="C182" s="428"/>
      <c r="E182" s="428"/>
      <c r="F182" s="429"/>
      <c r="G182" s="430"/>
      <c r="H182" s="429"/>
      <c r="I182" s="421"/>
      <c r="J182" s="421"/>
      <c r="K182" s="401"/>
      <c r="L182" s="538"/>
      <c r="M182" s="203"/>
      <c r="N182" s="399"/>
      <c r="O182" s="400"/>
      <c r="Q182" s="291"/>
    </row>
    <row r="183" spans="3:17">
      <c r="C183" s="428"/>
      <c r="E183" s="428"/>
      <c r="F183" s="429"/>
      <c r="G183" s="430"/>
      <c r="H183" s="429"/>
      <c r="I183" s="421"/>
      <c r="J183" s="421"/>
      <c r="K183" s="401"/>
      <c r="L183" s="538"/>
      <c r="M183" s="203"/>
      <c r="N183" s="399"/>
      <c r="O183" s="400"/>
      <c r="Q183" s="291"/>
    </row>
    <row r="184" spans="3:17">
      <c r="C184" s="428"/>
      <c r="E184" s="428"/>
      <c r="F184" s="429"/>
      <c r="G184" s="430"/>
      <c r="H184" s="429"/>
      <c r="I184" s="421"/>
      <c r="J184" s="421"/>
      <c r="K184" s="401"/>
      <c r="L184" s="538"/>
      <c r="M184" s="203"/>
      <c r="N184" s="399"/>
      <c r="O184" s="400"/>
      <c r="Q184" s="291"/>
    </row>
    <row r="185" spans="3:17">
      <c r="C185" s="428"/>
      <c r="E185" s="428"/>
      <c r="F185" s="429"/>
      <c r="G185" s="430"/>
      <c r="H185" s="429"/>
      <c r="I185" s="421"/>
      <c r="J185" s="421"/>
      <c r="K185" s="401"/>
      <c r="L185" s="538"/>
      <c r="M185" s="203"/>
      <c r="N185" s="399"/>
      <c r="O185" s="400"/>
      <c r="Q185" s="291"/>
    </row>
    <row r="186" spans="3:17">
      <c r="C186" s="428"/>
      <c r="E186" s="428"/>
      <c r="F186" s="429"/>
      <c r="G186" s="430"/>
      <c r="H186" s="429"/>
      <c r="I186" s="421"/>
      <c r="J186" s="421"/>
      <c r="K186" s="401"/>
      <c r="L186" s="538"/>
      <c r="M186" s="203"/>
      <c r="N186" s="399"/>
      <c r="O186" s="400"/>
    </row>
    <row r="187" spans="3:17">
      <c r="C187" s="428"/>
      <c r="E187" s="428"/>
      <c r="F187" s="429"/>
      <c r="G187" s="430"/>
      <c r="H187" s="429"/>
      <c r="I187" s="421"/>
      <c r="J187" s="421"/>
      <c r="K187" s="401"/>
      <c r="L187" s="538"/>
      <c r="M187" s="203"/>
      <c r="N187" s="399"/>
      <c r="O187" s="400"/>
    </row>
    <row r="188" spans="3:17">
      <c r="C188" s="428"/>
      <c r="E188" s="428"/>
      <c r="F188" s="429"/>
      <c r="G188" s="430"/>
      <c r="H188" s="429"/>
      <c r="I188" s="421"/>
      <c r="J188" s="421"/>
      <c r="K188" s="401"/>
      <c r="L188" s="538"/>
      <c r="M188" s="203"/>
      <c r="N188" s="399"/>
      <c r="O188" s="400"/>
    </row>
    <row r="189" spans="3:17">
      <c r="C189" s="428"/>
      <c r="E189" s="428"/>
      <c r="F189" s="429"/>
      <c r="G189" s="430"/>
      <c r="H189" s="429"/>
      <c r="I189" s="421"/>
      <c r="J189" s="421"/>
      <c r="K189" s="401"/>
      <c r="L189" s="538"/>
      <c r="M189" s="203"/>
      <c r="N189" s="399"/>
      <c r="O189" s="400"/>
    </row>
    <row r="190" spans="3:17">
      <c r="C190" s="428"/>
      <c r="E190" s="428"/>
      <c r="F190" s="429"/>
      <c r="G190" s="430"/>
      <c r="H190" s="429"/>
      <c r="I190" s="421"/>
      <c r="J190" s="421"/>
      <c r="K190" s="401"/>
      <c r="L190" s="538"/>
      <c r="M190" s="203"/>
      <c r="N190" s="399"/>
      <c r="O190" s="400"/>
    </row>
    <row r="191" spans="3:17">
      <c r="C191" s="428"/>
      <c r="E191" s="428"/>
      <c r="F191" s="429"/>
      <c r="G191" s="430"/>
      <c r="H191" s="429"/>
      <c r="I191" s="421"/>
      <c r="J191" s="421"/>
      <c r="K191" s="401"/>
      <c r="L191" s="538"/>
      <c r="M191" s="203"/>
      <c r="N191" s="399"/>
      <c r="O191" s="400"/>
    </row>
    <row r="192" spans="3:17">
      <c r="C192" s="428"/>
      <c r="E192" s="428"/>
      <c r="F192" s="429"/>
      <c r="G192" s="430"/>
      <c r="H192" s="429"/>
      <c r="I192" s="421"/>
      <c r="J192" s="421"/>
      <c r="K192" s="401"/>
      <c r="L192" s="538"/>
      <c r="M192" s="203"/>
      <c r="N192" s="399"/>
      <c r="O192" s="400"/>
    </row>
    <row r="193" spans="3:15">
      <c r="C193" s="428"/>
      <c r="E193" s="428"/>
      <c r="F193" s="429"/>
      <c r="G193" s="430"/>
      <c r="H193" s="429"/>
      <c r="I193" s="421"/>
      <c r="J193" s="421"/>
      <c r="K193" s="401"/>
      <c r="L193" s="538"/>
      <c r="M193" s="203"/>
      <c r="N193" s="399"/>
      <c r="O193" s="400"/>
    </row>
    <row r="194" spans="3:15">
      <c r="C194" s="428"/>
      <c r="E194" s="428"/>
      <c r="F194" s="429"/>
      <c r="G194" s="430"/>
      <c r="H194" s="429"/>
      <c r="I194" s="421"/>
      <c r="J194" s="421"/>
      <c r="K194" s="401"/>
      <c r="L194" s="538"/>
      <c r="M194" s="203"/>
      <c r="N194" s="399"/>
      <c r="O194" s="400"/>
    </row>
    <row r="195" spans="3:15">
      <c r="C195" s="428"/>
      <c r="E195" s="428"/>
      <c r="F195" s="429"/>
      <c r="G195" s="430"/>
      <c r="H195" s="429"/>
      <c r="I195" s="421"/>
      <c r="J195" s="421"/>
      <c r="K195" s="401"/>
      <c r="L195" s="538"/>
      <c r="M195" s="203"/>
      <c r="N195" s="399"/>
      <c r="O195" s="400"/>
    </row>
    <row r="196" spans="3:15">
      <c r="C196" s="428"/>
      <c r="E196" s="428"/>
      <c r="F196" s="429"/>
      <c r="G196" s="430"/>
      <c r="H196" s="429"/>
      <c r="I196" s="421"/>
      <c r="J196" s="421"/>
      <c r="K196" s="401"/>
      <c r="L196" s="538"/>
      <c r="M196" s="203"/>
      <c r="N196" s="399"/>
      <c r="O196" s="400"/>
    </row>
    <row r="197" spans="3:15">
      <c r="C197" s="428"/>
      <c r="E197" s="428"/>
      <c r="F197" s="429"/>
      <c r="G197" s="430"/>
      <c r="H197" s="429"/>
      <c r="I197" s="421"/>
      <c r="J197" s="421"/>
      <c r="K197" s="401"/>
      <c r="L197" s="538"/>
      <c r="M197" s="203"/>
      <c r="N197" s="399"/>
      <c r="O197" s="400"/>
    </row>
    <row r="198" spans="3:15">
      <c r="C198" s="428"/>
      <c r="E198" s="428"/>
      <c r="F198" s="429"/>
      <c r="G198" s="430"/>
      <c r="H198" s="429"/>
      <c r="I198" s="421"/>
      <c r="J198" s="421"/>
      <c r="K198" s="401"/>
      <c r="L198" s="538"/>
      <c r="M198" s="203"/>
      <c r="N198" s="399"/>
      <c r="O198" s="400"/>
    </row>
    <row r="199" spans="3:15">
      <c r="C199" s="428"/>
      <c r="E199" s="428"/>
      <c r="F199" s="429"/>
      <c r="G199" s="430"/>
      <c r="H199" s="429"/>
      <c r="I199" s="421"/>
      <c r="J199" s="421"/>
      <c r="K199" s="401"/>
      <c r="L199" s="538"/>
      <c r="M199" s="203"/>
      <c r="N199" s="399"/>
      <c r="O199" s="400"/>
    </row>
    <row r="200" spans="3:15">
      <c r="C200" s="428"/>
      <c r="E200" s="428"/>
      <c r="F200" s="429"/>
      <c r="G200" s="430"/>
      <c r="H200" s="429"/>
      <c r="I200" s="421"/>
      <c r="J200" s="421"/>
      <c r="K200" s="401"/>
      <c r="L200" s="538"/>
      <c r="M200" s="203"/>
      <c r="N200" s="399"/>
      <c r="O200" s="400"/>
    </row>
    <row r="201" spans="3:15">
      <c r="C201" s="428"/>
      <c r="E201" s="428"/>
      <c r="F201" s="429"/>
      <c r="G201" s="430"/>
      <c r="H201" s="429"/>
      <c r="I201" s="421"/>
      <c r="J201" s="421"/>
      <c r="K201" s="401"/>
      <c r="L201" s="538"/>
      <c r="M201" s="203"/>
      <c r="N201" s="399"/>
      <c r="O201" s="400"/>
    </row>
    <row r="202" spans="3:15">
      <c r="C202" s="428"/>
      <c r="E202" s="428"/>
      <c r="F202" s="429"/>
      <c r="G202" s="430"/>
      <c r="H202" s="429"/>
      <c r="I202" s="421"/>
      <c r="J202" s="421"/>
      <c r="K202" s="401"/>
      <c r="L202" s="538"/>
      <c r="M202" s="203"/>
      <c r="N202" s="399"/>
      <c r="O202" s="400"/>
    </row>
    <row r="203" spans="3:15">
      <c r="C203" s="428"/>
      <c r="E203" s="428"/>
      <c r="F203" s="429"/>
      <c r="G203" s="430"/>
      <c r="H203" s="429"/>
      <c r="I203" s="421"/>
      <c r="J203" s="421"/>
      <c r="K203" s="401"/>
      <c r="L203" s="538"/>
      <c r="M203" s="203"/>
      <c r="N203" s="399"/>
      <c r="O203" s="400"/>
    </row>
    <row r="204" spans="3:15">
      <c r="C204" s="428"/>
      <c r="E204" s="428"/>
      <c r="F204" s="429"/>
      <c r="G204" s="430"/>
      <c r="H204" s="429"/>
      <c r="I204" s="421"/>
      <c r="J204" s="421"/>
      <c r="K204" s="401"/>
      <c r="L204" s="538"/>
      <c r="M204" s="203"/>
      <c r="N204" s="399"/>
      <c r="O204" s="400"/>
    </row>
    <row r="205" spans="3:15">
      <c r="C205" s="428"/>
      <c r="E205" s="428"/>
      <c r="F205" s="429"/>
      <c r="G205" s="430"/>
      <c r="H205" s="429"/>
      <c r="I205" s="421"/>
      <c r="J205" s="421"/>
      <c r="K205" s="401"/>
      <c r="L205" s="538"/>
      <c r="M205" s="203"/>
      <c r="N205" s="399"/>
      <c r="O205" s="400"/>
    </row>
    <row r="206" spans="3:15">
      <c r="C206" s="428"/>
      <c r="E206" s="428"/>
      <c r="F206" s="429"/>
      <c r="G206" s="430"/>
      <c r="H206" s="429"/>
      <c r="I206" s="421"/>
      <c r="J206" s="421"/>
      <c r="K206" s="401"/>
      <c r="L206" s="538"/>
      <c r="M206" s="203"/>
      <c r="N206" s="399"/>
      <c r="O206" s="400"/>
    </row>
    <row r="207" spans="3:15">
      <c r="C207" s="428"/>
      <c r="E207" s="428"/>
      <c r="F207" s="429"/>
      <c r="G207" s="430"/>
      <c r="H207" s="429"/>
      <c r="I207" s="421"/>
      <c r="J207" s="421"/>
      <c r="K207" s="401"/>
      <c r="L207" s="538"/>
      <c r="M207" s="203"/>
      <c r="N207" s="399"/>
      <c r="O207" s="400"/>
    </row>
    <row r="208" spans="3:15">
      <c r="C208" s="428"/>
      <c r="E208" s="428"/>
      <c r="F208" s="429"/>
      <c r="G208" s="430"/>
      <c r="H208" s="429"/>
      <c r="I208" s="421"/>
      <c r="J208" s="421"/>
      <c r="K208" s="401"/>
      <c r="L208" s="538"/>
      <c r="M208" s="203"/>
      <c r="N208" s="399"/>
      <c r="O208" s="400"/>
    </row>
    <row r="209" spans="3:15">
      <c r="C209" s="428"/>
      <c r="E209" s="428"/>
      <c r="F209" s="429"/>
      <c r="G209" s="430"/>
      <c r="H209" s="429"/>
      <c r="I209" s="421"/>
      <c r="J209" s="421"/>
      <c r="K209" s="401"/>
      <c r="L209" s="538"/>
      <c r="M209" s="203"/>
      <c r="N209" s="399"/>
      <c r="O209" s="400"/>
    </row>
    <row r="210" spans="3:15">
      <c r="C210" s="428"/>
      <c r="E210" s="428"/>
      <c r="F210" s="429"/>
      <c r="G210" s="430"/>
      <c r="H210" s="429"/>
      <c r="I210" s="421"/>
      <c r="J210" s="421"/>
      <c r="K210" s="401"/>
      <c r="L210" s="538"/>
      <c r="M210" s="203"/>
      <c r="N210" s="399"/>
      <c r="O210" s="400"/>
    </row>
    <row r="211" spans="3:15">
      <c r="C211" s="428"/>
      <c r="E211" s="428"/>
      <c r="F211" s="429"/>
      <c r="G211" s="430"/>
      <c r="H211" s="429"/>
      <c r="I211" s="421"/>
      <c r="J211" s="421"/>
      <c r="K211" s="401"/>
      <c r="L211" s="538"/>
      <c r="M211" s="203"/>
      <c r="N211" s="399"/>
      <c r="O211" s="400"/>
    </row>
    <row r="212" spans="3:15">
      <c r="C212" s="428"/>
      <c r="E212" s="428"/>
      <c r="F212" s="429"/>
      <c r="G212" s="430"/>
      <c r="H212" s="429"/>
      <c r="I212" s="421"/>
      <c r="J212" s="421"/>
      <c r="K212" s="401"/>
      <c r="L212" s="538"/>
      <c r="M212" s="203"/>
      <c r="N212" s="399"/>
      <c r="O212" s="400"/>
    </row>
    <row r="213" spans="3:15">
      <c r="C213" s="428"/>
      <c r="E213" s="428"/>
      <c r="F213" s="429"/>
      <c r="G213" s="430"/>
      <c r="H213" s="429"/>
      <c r="I213" s="421"/>
      <c r="J213" s="421"/>
      <c r="K213" s="401"/>
      <c r="L213" s="538"/>
      <c r="M213" s="203"/>
      <c r="N213" s="399"/>
      <c r="O213" s="400"/>
    </row>
    <row r="214" spans="3:15">
      <c r="C214" s="428"/>
      <c r="E214" s="428"/>
      <c r="F214" s="429"/>
      <c r="G214" s="430"/>
      <c r="H214" s="429"/>
      <c r="I214" s="421"/>
      <c r="J214" s="421"/>
      <c r="K214" s="401"/>
      <c r="L214" s="538"/>
      <c r="M214" s="203"/>
      <c r="N214" s="399"/>
      <c r="O214" s="400"/>
    </row>
    <row r="215" spans="3:15">
      <c r="C215" s="428"/>
      <c r="E215" s="428"/>
      <c r="F215" s="429"/>
      <c r="G215" s="430"/>
      <c r="H215" s="429"/>
      <c r="I215" s="421"/>
      <c r="J215" s="421"/>
      <c r="K215" s="401"/>
      <c r="L215" s="538"/>
      <c r="M215" s="203"/>
      <c r="N215" s="399"/>
      <c r="O215" s="400"/>
    </row>
    <row r="216" spans="3:15">
      <c r="C216" s="428"/>
      <c r="E216" s="428"/>
      <c r="F216" s="429"/>
      <c r="G216" s="430"/>
      <c r="H216" s="429"/>
      <c r="I216" s="421"/>
      <c r="J216" s="421"/>
      <c r="K216" s="401"/>
      <c r="L216" s="538"/>
      <c r="M216" s="203"/>
      <c r="N216" s="399"/>
      <c r="O216" s="400"/>
    </row>
    <row r="217" spans="3:15">
      <c r="C217" s="428"/>
      <c r="E217" s="428"/>
      <c r="F217" s="429"/>
      <c r="G217" s="430"/>
      <c r="H217" s="429"/>
      <c r="I217" s="421"/>
      <c r="J217" s="421"/>
      <c r="K217" s="401"/>
      <c r="L217" s="538"/>
      <c r="M217" s="203"/>
      <c r="N217" s="399"/>
      <c r="O217" s="400"/>
    </row>
    <row r="218" spans="3:15">
      <c r="C218" s="428"/>
      <c r="E218" s="428"/>
      <c r="F218" s="429"/>
      <c r="G218" s="430"/>
      <c r="H218" s="429"/>
      <c r="I218" s="421"/>
      <c r="J218" s="421"/>
      <c r="K218" s="401"/>
      <c r="L218" s="538"/>
      <c r="M218" s="203"/>
      <c r="N218" s="399"/>
      <c r="O218" s="400"/>
    </row>
    <row r="219" spans="3:15">
      <c r="C219" s="428"/>
      <c r="E219" s="428"/>
      <c r="F219" s="429"/>
      <c r="G219" s="430"/>
      <c r="H219" s="429"/>
      <c r="I219" s="421"/>
      <c r="J219" s="421"/>
      <c r="K219" s="401"/>
      <c r="L219" s="538"/>
      <c r="M219" s="203"/>
      <c r="N219" s="399"/>
      <c r="O219" s="400"/>
    </row>
    <row r="220" spans="3:15">
      <c r="C220" s="428"/>
      <c r="E220" s="428"/>
      <c r="F220" s="429"/>
      <c r="G220" s="430"/>
      <c r="H220" s="429"/>
      <c r="I220" s="421"/>
      <c r="J220" s="421"/>
      <c r="K220" s="401"/>
      <c r="L220" s="538"/>
      <c r="M220" s="203"/>
      <c r="N220" s="399"/>
      <c r="O220" s="400"/>
    </row>
    <row r="221" spans="3:15">
      <c r="C221" s="428"/>
      <c r="E221" s="428"/>
      <c r="F221" s="429"/>
      <c r="G221" s="430"/>
      <c r="H221" s="429"/>
      <c r="I221" s="421"/>
      <c r="J221" s="421"/>
      <c r="K221" s="401"/>
      <c r="L221" s="538"/>
      <c r="M221" s="203"/>
      <c r="N221" s="399"/>
      <c r="O221" s="400"/>
    </row>
    <row r="222" spans="3:15">
      <c r="C222" s="428"/>
      <c r="E222" s="428"/>
      <c r="F222" s="429"/>
      <c r="G222" s="430"/>
      <c r="H222" s="429"/>
      <c r="I222" s="421"/>
      <c r="J222" s="421"/>
      <c r="K222" s="401"/>
      <c r="L222" s="538"/>
      <c r="M222" s="203"/>
      <c r="N222" s="399"/>
      <c r="O222" s="400"/>
    </row>
    <row r="223" spans="3:15">
      <c r="C223" s="428"/>
      <c r="E223" s="428"/>
      <c r="F223" s="429"/>
      <c r="G223" s="430"/>
      <c r="H223" s="429"/>
      <c r="I223" s="421"/>
      <c r="J223" s="421"/>
      <c r="K223" s="401"/>
      <c r="L223" s="538"/>
      <c r="M223" s="203"/>
      <c r="N223" s="399"/>
      <c r="O223" s="400"/>
    </row>
    <row r="224" spans="3:15">
      <c r="C224" s="428"/>
      <c r="E224" s="428"/>
      <c r="F224" s="429"/>
      <c r="G224" s="430"/>
      <c r="H224" s="429"/>
      <c r="I224" s="421"/>
      <c r="J224" s="421"/>
      <c r="K224" s="401"/>
      <c r="L224" s="538"/>
      <c r="M224" s="203"/>
      <c r="N224" s="399"/>
      <c r="O224" s="400"/>
    </row>
    <row r="225" spans="3:15">
      <c r="C225" s="428"/>
      <c r="E225" s="428"/>
      <c r="F225" s="429"/>
      <c r="G225" s="430"/>
      <c r="H225" s="429"/>
      <c r="I225" s="421"/>
      <c r="J225" s="421"/>
      <c r="K225" s="401"/>
      <c r="L225" s="538"/>
      <c r="M225" s="203"/>
      <c r="N225" s="399"/>
      <c r="O225" s="400"/>
    </row>
    <row r="226" spans="3:15">
      <c r="C226" s="428"/>
      <c r="E226" s="428"/>
      <c r="F226" s="429"/>
      <c r="G226" s="430"/>
      <c r="H226" s="429"/>
      <c r="I226" s="421"/>
      <c r="J226" s="421"/>
      <c r="K226" s="401"/>
      <c r="L226" s="538"/>
      <c r="M226" s="203"/>
      <c r="N226" s="399"/>
      <c r="O226" s="400"/>
    </row>
    <row r="227" spans="3:15">
      <c r="C227" s="428"/>
      <c r="E227" s="428"/>
      <c r="F227" s="429"/>
      <c r="G227" s="430"/>
      <c r="H227" s="429"/>
      <c r="I227" s="421"/>
      <c r="J227" s="421"/>
      <c r="K227" s="401"/>
      <c r="L227" s="538"/>
      <c r="M227" s="203"/>
      <c r="N227" s="399"/>
      <c r="O227" s="400"/>
    </row>
    <row r="228" spans="3:15">
      <c r="C228" s="428"/>
      <c r="E228" s="428"/>
      <c r="F228" s="429"/>
      <c r="G228" s="430"/>
      <c r="H228" s="429"/>
      <c r="I228" s="421"/>
      <c r="J228" s="421"/>
      <c r="K228" s="401"/>
      <c r="L228" s="538"/>
      <c r="M228" s="203"/>
      <c r="N228" s="399"/>
      <c r="O228" s="400"/>
    </row>
    <row r="229" spans="3:15">
      <c r="C229" s="428"/>
      <c r="E229" s="428"/>
      <c r="F229" s="429"/>
      <c r="G229" s="430"/>
      <c r="H229" s="429"/>
      <c r="I229" s="421"/>
      <c r="J229" s="421"/>
      <c r="K229" s="401"/>
      <c r="L229" s="538"/>
      <c r="M229" s="203"/>
      <c r="N229" s="399"/>
      <c r="O229" s="400"/>
    </row>
    <row r="230" spans="3:15">
      <c r="C230" s="428"/>
      <c r="E230" s="428"/>
      <c r="F230" s="429"/>
      <c r="G230" s="430"/>
      <c r="H230" s="429"/>
      <c r="I230" s="421"/>
      <c r="J230" s="421"/>
      <c r="K230" s="401"/>
      <c r="L230" s="538"/>
      <c r="M230" s="203"/>
      <c r="N230" s="399"/>
      <c r="O230" s="400"/>
    </row>
    <row r="231" spans="3:15">
      <c r="C231" s="428"/>
      <c r="E231" s="428"/>
      <c r="F231" s="429"/>
      <c r="G231" s="430"/>
      <c r="H231" s="429"/>
      <c r="I231" s="421"/>
      <c r="J231" s="421"/>
      <c r="K231" s="401"/>
      <c r="L231" s="538"/>
      <c r="M231" s="203"/>
      <c r="N231" s="399"/>
      <c r="O231" s="400"/>
    </row>
    <row r="232" spans="3:15">
      <c r="C232" s="428"/>
      <c r="E232" s="428"/>
      <c r="F232" s="429"/>
      <c r="G232" s="430"/>
      <c r="H232" s="429"/>
      <c r="I232" s="421"/>
      <c r="J232" s="421"/>
      <c r="K232" s="401"/>
      <c r="L232" s="538"/>
      <c r="M232" s="203"/>
      <c r="N232" s="399"/>
      <c r="O232" s="400"/>
    </row>
    <row r="233" spans="3:15">
      <c r="C233" s="428"/>
      <c r="E233" s="428"/>
      <c r="F233" s="429"/>
      <c r="G233" s="430"/>
      <c r="H233" s="429"/>
      <c r="I233" s="421"/>
      <c r="J233" s="421"/>
      <c r="K233" s="401"/>
      <c r="L233" s="538"/>
      <c r="M233" s="203"/>
      <c r="N233" s="399"/>
      <c r="O233" s="400"/>
    </row>
    <row r="234" spans="3:15">
      <c r="C234" s="428"/>
      <c r="E234" s="428"/>
      <c r="F234" s="429"/>
      <c r="G234" s="430"/>
      <c r="H234" s="429"/>
      <c r="I234" s="421"/>
      <c r="J234" s="421"/>
      <c r="K234" s="401"/>
      <c r="L234" s="538"/>
      <c r="M234" s="203"/>
      <c r="N234" s="399"/>
      <c r="O234" s="400"/>
    </row>
    <row r="235" spans="3:15">
      <c r="C235" s="428"/>
      <c r="E235" s="428"/>
      <c r="F235" s="429"/>
      <c r="G235" s="430"/>
      <c r="H235" s="429"/>
      <c r="I235" s="421"/>
      <c r="J235" s="421"/>
      <c r="K235" s="401"/>
      <c r="L235" s="538"/>
      <c r="M235" s="203"/>
      <c r="N235" s="399"/>
      <c r="O235" s="400"/>
    </row>
    <row r="236" spans="3:15">
      <c r="C236" s="428"/>
      <c r="E236" s="428"/>
      <c r="F236" s="429"/>
      <c r="G236" s="430"/>
      <c r="H236" s="429"/>
      <c r="I236" s="421"/>
      <c r="J236" s="421"/>
      <c r="K236" s="401"/>
      <c r="L236" s="538"/>
      <c r="M236" s="203"/>
      <c r="N236" s="399"/>
      <c r="O236" s="400"/>
    </row>
    <row r="237" spans="3:15">
      <c r="C237" s="428"/>
      <c r="E237" s="428"/>
      <c r="F237" s="429"/>
      <c r="G237" s="430"/>
      <c r="H237" s="429"/>
      <c r="I237" s="421"/>
      <c r="J237" s="421"/>
      <c r="K237" s="401"/>
      <c r="L237" s="538"/>
      <c r="M237" s="203"/>
      <c r="N237" s="399"/>
      <c r="O237" s="400"/>
    </row>
    <row r="238" spans="3:15">
      <c r="C238" s="428"/>
      <c r="E238" s="428"/>
      <c r="F238" s="429"/>
      <c r="G238" s="430"/>
      <c r="H238" s="429"/>
      <c r="I238" s="421"/>
      <c r="J238" s="421"/>
      <c r="K238" s="401"/>
      <c r="L238" s="538"/>
      <c r="M238" s="203"/>
      <c r="N238" s="399"/>
      <c r="O238" s="400"/>
    </row>
    <row r="239" spans="3:15">
      <c r="C239" s="428"/>
      <c r="E239" s="428"/>
      <c r="F239" s="429"/>
      <c r="G239" s="430"/>
      <c r="H239" s="429"/>
      <c r="I239" s="421"/>
      <c r="J239" s="421"/>
      <c r="K239" s="401"/>
      <c r="L239" s="538"/>
      <c r="M239" s="203"/>
      <c r="N239" s="399"/>
      <c r="O239" s="400"/>
    </row>
    <row r="240" spans="3:15">
      <c r="C240" s="428"/>
      <c r="E240" s="428"/>
      <c r="F240" s="429"/>
      <c r="G240" s="430"/>
      <c r="H240" s="429"/>
      <c r="I240" s="421"/>
      <c r="J240" s="421"/>
      <c r="K240" s="401"/>
      <c r="L240" s="538"/>
      <c r="M240" s="203"/>
      <c r="N240" s="399"/>
      <c r="O240" s="400"/>
    </row>
    <row r="241" spans="3:15">
      <c r="C241" s="428"/>
      <c r="E241" s="428"/>
      <c r="F241" s="429"/>
      <c r="G241" s="430"/>
      <c r="H241" s="429"/>
      <c r="I241" s="421"/>
      <c r="J241" s="421"/>
      <c r="K241" s="401"/>
      <c r="L241" s="538"/>
      <c r="M241" s="203"/>
      <c r="N241" s="399"/>
      <c r="O241" s="400"/>
    </row>
    <row r="242" spans="3:15">
      <c r="C242" s="428"/>
      <c r="E242" s="428"/>
      <c r="F242" s="429"/>
      <c r="G242" s="430"/>
      <c r="H242" s="429"/>
      <c r="I242" s="421"/>
      <c r="J242" s="421"/>
      <c r="K242" s="401"/>
      <c r="L242" s="538"/>
      <c r="M242" s="203"/>
      <c r="N242" s="399"/>
      <c r="O242" s="400"/>
    </row>
    <row r="243" spans="3:15">
      <c r="C243" s="428"/>
      <c r="E243" s="428"/>
      <c r="F243" s="429"/>
      <c r="G243" s="430"/>
      <c r="H243" s="429"/>
      <c r="I243" s="421"/>
      <c r="J243" s="421"/>
      <c r="K243" s="401"/>
      <c r="L243" s="538"/>
      <c r="M243" s="203"/>
      <c r="N243" s="399"/>
      <c r="O243" s="400"/>
    </row>
    <row r="244" spans="3:15">
      <c r="C244" s="428"/>
      <c r="E244" s="428"/>
      <c r="F244" s="429"/>
      <c r="G244" s="430"/>
      <c r="H244" s="429"/>
      <c r="I244" s="421"/>
      <c r="J244" s="421"/>
      <c r="K244" s="401"/>
      <c r="L244" s="538"/>
      <c r="M244" s="203"/>
      <c r="N244" s="399"/>
      <c r="O244" s="400"/>
    </row>
    <row r="245" spans="3:15">
      <c r="C245" s="428"/>
      <c r="E245" s="428"/>
      <c r="F245" s="429"/>
      <c r="G245" s="430"/>
      <c r="H245" s="429"/>
      <c r="I245" s="421"/>
      <c r="J245" s="421"/>
      <c r="K245" s="401"/>
      <c r="L245" s="538"/>
      <c r="M245" s="203"/>
      <c r="N245" s="399"/>
      <c r="O245" s="400"/>
    </row>
    <row r="246" spans="3:15">
      <c r="C246" s="428"/>
      <c r="E246" s="428"/>
      <c r="F246" s="429"/>
      <c r="G246" s="430"/>
      <c r="H246" s="429"/>
      <c r="I246" s="421"/>
      <c r="J246" s="421"/>
      <c r="K246" s="401"/>
      <c r="L246" s="538"/>
      <c r="M246" s="203"/>
      <c r="N246" s="399"/>
      <c r="O246" s="400"/>
    </row>
    <row r="247" spans="3:15">
      <c r="C247" s="428"/>
      <c r="E247" s="428"/>
      <c r="F247" s="429"/>
      <c r="G247" s="430"/>
      <c r="H247" s="429"/>
      <c r="I247" s="421"/>
      <c r="J247" s="421"/>
      <c r="K247" s="401"/>
      <c r="L247" s="538"/>
      <c r="M247" s="203"/>
      <c r="N247" s="399"/>
      <c r="O247" s="400"/>
    </row>
    <row r="248" spans="3:15">
      <c r="C248" s="428"/>
      <c r="E248" s="428"/>
      <c r="F248" s="429"/>
      <c r="G248" s="430"/>
      <c r="H248" s="429"/>
      <c r="I248" s="421"/>
      <c r="J248" s="421"/>
      <c r="K248" s="401"/>
      <c r="L248" s="538"/>
      <c r="M248" s="203"/>
      <c r="N248" s="399"/>
      <c r="O248" s="400"/>
    </row>
    <row r="249" spans="3:15">
      <c r="C249" s="428"/>
      <c r="E249" s="428"/>
      <c r="F249" s="429"/>
      <c r="G249" s="430"/>
      <c r="H249" s="429"/>
      <c r="I249" s="421"/>
      <c r="J249" s="421"/>
      <c r="K249" s="401"/>
      <c r="L249" s="538"/>
      <c r="M249" s="203"/>
      <c r="N249" s="399"/>
      <c r="O249" s="400"/>
    </row>
    <row r="250" spans="3:15">
      <c r="C250" s="428"/>
      <c r="E250" s="428"/>
      <c r="F250" s="429"/>
      <c r="G250" s="430"/>
      <c r="H250" s="429"/>
      <c r="I250" s="421"/>
      <c r="J250" s="421"/>
      <c r="K250" s="401"/>
      <c r="L250" s="538"/>
      <c r="M250" s="203"/>
      <c r="N250" s="399"/>
      <c r="O250" s="400"/>
    </row>
    <row r="251" spans="3:15">
      <c r="C251" s="428"/>
      <c r="E251" s="428"/>
      <c r="F251" s="429"/>
      <c r="G251" s="430"/>
      <c r="H251" s="429"/>
      <c r="I251" s="421"/>
      <c r="J251" s="421"/>
      <c r="K251" s="401"/>
      <c r="L251" s="538"/>
      <c r="M251" s="203"/>
      <c r="N251" s="399"/>
      <c r="O251" s="400"/>
    </row>
    <row r="252" spans="3:15">
      <c r="C252" s="428"/>
      <c r="E252" s="428"/>
      <c r="F252" s="429"/>
      <c r="G252" s="430"/>
      <c r="H252" s="429"/>
      <c r="I252" s="421"/>
      <c r="J252" s="421"/>
      <c r="K252" s="401"/>
      <c r="L252" s="538"/>
      <c r="M252" s="203"/>
      <c r="N252" s="399"/>
      <c r="O252" s="400"/>
    </row>
    <row r="253" spans="3:15">
      <c r="C253" s="428"/>
      <c r="E253" s="428"/>
      <c r="F253" s="429"/>
      <c r="G253" s="430"/>
      <c r="H253" s="429"/>
      <c r="I253" s="421"/>
      <c r="J253" s="421"/>
      <c r="K253" s="401"/>
      <c r="L253" s="538"/>
      <c r="M253" s="203"/>
      <c r="N253" s="399"/>
      <c r="O253" s="400"/>
    </row>
    <row r="254" spans="3:15">
      <c r="C254" s="428"/>
      <c r="E254" s="428"/>
      <c r="F254" s="429"/>
      <c r="G254" s="430"/>
      <c r="H254" s="429"/>
      <c r="I254" s="421"/>
      <c r="J254" s="421"/>
      <c r="K254" s="401"/>
      <c r="L254" s="538"/>
      <c r="M254" s="203"/>
      <c r="N254" s="399"/>
      <c r="O254" s="400"/>
    </row>
    <row r="255" spans="3:15">
      <c r="C255" s="428"/>
      <c r="E255" s="428"/>
      <c r="F255" s="429"/>
      <c r="G255" s="430"/>
      <c r="H255" s="429"/>
      <c r="I255" s="421"/>
      <c r="J255" s="421"/>
      <c r="K255" s="401"/>
      <c r="L255" s="538"/>
      <c r="M255" s="203"/>
      <c r="N255" s="399"/>
      <c r="O255" s="400"/>
    </row>
    <row r="256" spans="3:15">
      <c r="C256" s="428"/>
      <c r="E256" s="428"/>
      <c r="F256" s="429"/>
      <c r="G256" s="430"/>
      <c r="H256" s="429"/>
      <c r="I256" s="421"/>
      <c r="J256" s="421"/>
      <c r="K256" s="401"/>
      <c r="L256" s="538"/>
      <c r="M256" s="203"/>
      <c r="N256" s="399"/>
      <c r="O256" s="400"/>
    </row>
    <row r="257" spans="3:15">
      <c r="C257" s="428"/>
      <c r="E257" s="428"/>
      <c r="F257" s="429"/>
      <c r="G257" s="430"/>
      <c r="H257" s="429"/>
      <c r="I257" s="421"/>
      <c r="J257" s="421"/>
      <c r="K257" s="401"/>
      <c r="L257" s="538"/>
      <c r="M257" s="203"/>
      <c r="N257" s="399"/>
      <c r="O257" s="400"/>
    </row>
    <row r="258" spans="3:15">
      <c r="C258" s="428"/>
      <c r="E258" s="428"/>
      <c r="F258" s="429"/>
      <c r="G258" s="430"/>
      <c r="H258" s="429"/>
      <c r="I258" s="421"/>
      <c r="J258" s="421"/>
      <c r="K258" s="401"/>
      <c r="L258" s="538"/>
      <c r="M258" s="203"/>
      <c r="N258" s="399"/>
      <c r="O258" s="400"/>
    </row>
    <row r="259" spans="3:15">
      <c r="C259" s="428"/>
      <c r="E259" s="428"/>
      <c r="F259" s="429"/>
      <c r="G259" s="430"/>
      <c r="H259" s="429"/>
      <c r="I259" s="421"/>
      <c r="J259" s="421"/>
      <c r="K259" s="401"/>
      <c r="L259" s="538"/>
      <c r="M259" s="203"/>
      <c r="N259" s="399"/>
      <c r="O259" s="400"/>
    </row>
    <row r="260" spans="3:15">
      <c r="C260" s="428"/>
      <c r="E260" s="428"/>
      <c r="F260" s="429"/>
      <c r="G260" s="430"/>
      <c r="H260" s="429"/>
      <c r="I260" s="421"/>
      <c r="J260" s="421"/>
      <c r="K260" s="401"/>
      <c r="L260" s="538"/>
      <c r="M260" s="203"/>
      <c r="N260" s="399"/>
      <c r="O260" s="400"/>
    </row>
    <row r="261" spans="3:15">
      <c r="C261" s="428"/>
      <c r="E261" s="428"/>
      <c r="F261" s="429"/>
      <c r="G261" s="430"/>
      <c r="H261" s="429"/>
      <c r="I261" s="421"/>
      <c r="J261" s="421"/>
      <c r="K261" s="401"/>
      <c r="L261" s="538"/>
      <c r="M261" s="203"/>
      <c r="N261" s="399"/>
      <c r="O261" s="400"/>
    </row>
    <row r="262" spans="3:15">
      <c r="C262" s="428"/>
      <c r="E262" s="428"/>
      <c r="F262" s="429"/>
      <c r="G262" s="430"/>
      <c r="H262" s="429"/>
      <c r="I262" s="421"/>
      <c r="J262" s="421"/>
      <c r="K262" s="401"/>
      <c r="L262" s="538"/>
      <c r="M262" s="203"/>
      <c r="N262" s="399"/>
      <c r="O262" s="400"/>
    </row>
    <row r="263" spans="3:15">
      <c r="C263" s="428"/>
      <c r="E263" s="428"/>
      <c r="F263" s="429"/>
      <c r="G263" s="430"/>
      <c r="H263" s="429"/>
      <c r="I263" s="421"/>
      <c r="J263" s="421"/>
      <c r="K263" s="401"/>
      <c r="L263" s="538"/>
      <c r="M263" s="203"/>
      <c r="N263" s="399"/>
      <c r="O263" s="400"/>
    </row>
    <row r="264" spans="3:15">
      <c r="C264" s="428"/>
      <c r="E264" s="428"/>
      <c r="F264" s="429"/>
      <c r="G264" s="430"/>
      <c r="H264" s="429"/>
      <c r="I264" s="421"/>
      <c r="J264" s="421"/>
      <c r="K264" s="401"/>
      <c r="L264" s="538"/>
      <c r="M264" s="203"/>
      <c r="N264" s="399"/>
      <c r="O264" s="400"/>
    </row>
    <row r="265" spans="3:15">
      <c r="C265" s="428"/>
      <c r="E265" s="428"/>
      <c r="F265" s="429"/>
      <c r="G265" s="430"/>
      <c r="H265" s="429"/>
      <c r="I265" s="421"/>
      <c r="J265" s="421"/>
      <c r="K265" s="401"/>
      <c r="L265" s="538"/>
      <c r="M265" s="203"/>
      <c r="N265" s="399"/>
      <c r="O265" s="400"/>
    </row>
    <row r="266" spans="3:15">
      <c r="C266" s="428"/>
      <c r="E266" s="428"/>
      <c r="F266" s="429"/>
      <c r="G266" s="430"/>
      <c r="H266" s="429"/>
      <c r="I266" s="421"/>
      <c r="J266" s="421"/>
      <c r="K266" s="401"/>
      <c r="L266" s="538"/>
      <c r="M266" s="203"/>
      <c r="N266" s="399"/>
      <c r="O266" s="400"/>
    </row>
    <row r="267" spans="3:15">
      <c r="C267" s="428"/>
      <c r="E267" s="428"/>
      <c r="F267" s="429"/>
      <c r="G267" s="430"/>
      <c r="H267" s="429"/>
      <c r="I267" s="421"/>
      <c r="J267" s="421"/>
      <c r="K267" s="401"/>
      <c r="L267" s="538"/>
      <c r="M267" s="203"/>
      <c r="N267" s="399"/>
      <c r="O267" s="400"/>
    </row>
    <row r="268" spans="3:15">
      <c r="C268" s="428"/>
      <c r="E268" s="428"/>
      <c r="F268" s="429"/>
      <c r="G268" s="430"/>
      <c r="H268" s="429"/>
      <c r="I268" s="421"/>
      <c r="J268" s="421"/>
      <c r="K268" s="401"/>
      <c r="L268" s="538"/>
      <c r="M268" s="203"/>
      <c r="N268" s="399"/>
      <c r="O268" s="400"/>
    </row>
    <row r="269" spans="3:15">
      <c r="C269" s="428"/>
      <c r="E269" s="428"/>
      <c r="F269" s="429"/>
      <c r="G269" s="430"/>
      <c r="H269" s="429"/>
      <c r="I269" s="421"/>
      <c r="J269" s="421"/>
      <c r="K269" s="401"/>
      <c r="L269" s="538"/>
      <c r="M269" s="203"/>
      <c r="N269" s="399"/>
      <c r="O269" s="400"/>
    </row>
    <row r="270" spans="3:15">
      <c r="C270" s="428"/>
      <c r="E270" s="428"/>
      <c r="F270" s="429"/>
      <c r="G270" s="430"/>
      <c r="H270" s="429"/>
      <c r="I270" s="421"/>
      <c r="J270" s="421"/>
      <c r="K270" s="401"/>
      <c r="L270" s="538"/>
      <c r="M270" s="203"/>
      <c r="N270" s="399"/>
      <c r="O270" s="400"/>
    </row>
    <row r="271" spans="3:15">
      <c r="C271" s="428"/>
      <c r="E271" s="428"/>
      <c r="F271" s="429"/>
      <c r="G271" s="430"/>
      <c r="H271" s="429"/>
      <c r="I271" s="421"/>
      <c r="J271" s="421"/>
      <c r="K271" s="401"/>
      <c r="L271" s="538"/>
      <c r="M271" s="203"/>
      <c r="N271" s="399"/>
      <c r="O271" s="400"/>
    </row>
    <row r="272" spans="3:15">
      <c r="C272" s="428"/>
      <c r="E272" s="428"/>
      <c r="F272" s="429"/>
      <c r="G272" s="430"/>
      <c r="H272" s="429"/>
      <c r="I272" s="421"/>
      <c r="J272" s="421"/>
      <c r="K272" s="401"/>
      <c r="L272" s="538"/>
      <c r="M272" s="203"/>
      <c r="N272" s="399"/>
      <c r="O272" s="400"/>
    </row>
    <row r="273" spans="3:15">
      <c r="C273" s="428"/>
      <c r="E273" s="428"/>
      <c r="F273" s="429"/>
      <c r="G273" s="430"/>
      <c r="H273" s="429"/>
      <c r="I273" s="421"/>
      <c r="J273" s="421"/>
      <c r="K273" s="401"/>
      <c r="L273" s="538"/>
      <c r="M273" s="203"/>
      <c r="N273" s="399"/>
      <c r="O273" s="400"/>
    </row>
    <row r="274" spans="3:15">
      <c r="C274" s="428"/>
      <c r="E274" s="428"/>
      <c r="F274" s="429"/>
      <c r="G274" s="430"/>
      <c r="H274" s="429"/>
      <c r="I274" s="421"/>
      <c r="J274" s="421"/>
      <c r="K274" s="401"/>
      <c r="L274" s="538"/>
      <c r="M274" s="203"/>
      <c r="N274" s="399"/>
      <c r="O274" s="400"/>
    </row>
    <row r="275" spans="3:15">
      <c r="C275" s="428"/>
      <c r="E275" s="428"/>
      <c r="F275" s="429"/>
      <c r="G275" s="430"/>
      <c r="H275" s="429"/>
      <c r="I275" s="421"/>
      <c r="J275" s="421"/>
      <c r="K275" s="401"/>
      <c r="L275" s="538"/>
      <c r="M275" s="203"/>
      <c r="N275" s="399"/>
      <c r="O275" s="400"/>
    </row>
    <row r="276" spans="3:15">
      <c r="C276" s="428"/>
      <c r="E276" s="428"/>
      <c r="F276" s="429"/>
      <c r="G276" s="430"/>
      <c r="H276" s="429"/>
      <c r="I276" s="421"/>
      <c r="J276" s="421"/>
      <c r="K276" s="401"/>
      <c r="L276" s="538"/>
      <c r="M276" s="203"/>
      <c r="N276" s="399"/>
      <c r="O276" s="400"/>
    </row>
    <row r="277" spans="3:15">
      <c r="C277" s="428"/>
      <c r="E277" s="428"/>
      <c r="F277" s="429"/>
      <c r="G277" s="430"/>
      <c r="H277" s="429"/>
      <c r="I277" s="421"/>
      <c r="J277" s="421"/>
      <c r="K277" s="401"/>
      <c r="L277" s="538"/>
      <c r="M277" s="203"/>
      <c r="N277" s="399"/>
      <c r="O277" s="400"/>
    </row>
    <row r="278" spans="3:15">
      <c r="C278" s="428"/>
      <c r="E278" s="428"/>
      <c r="F278" s="429"/>
      <c r="G278" s="430"/>
      <c r="H278" s="429"/>
      <c r="I278" s="421"/>
      <c r="J278" s="421"/>
      <c r="K278" s="401"/>
      <c r="L278" s="538"/>
      <c r="M278" s="203"/>
      <c r="N278" s="399"/>
      <c r="O278" s="400"/>
    </row>
    <row r="279" spans="3:15">
      <c r="C279" s="428"/>
      <c r="E279" s="428"/>
      <c r="F279" s="429"/>
      <c r="G279" s="430"/>
      <c r="H279" s="429"/>
      <c r="I279" s="421"/>
      <c r="J279" s="421"/>
      <c r="K279" s="401"/>
      <c r="L279" s="538"/>
      <c r="M279" s="203"/>
      <c r="N279" s="399"/>
      <c r="O279" s="400"/>
    </row>
    <row r="280" spans="3:15">
      <c r="C280" s="428"/>
      <c r="E280" s="428"/>
      <c r="F280" s="429"/>
      <c r="G280" s="430"/>
      <c r="H280" s="429"/>
      <c r="I280" s="421"/>
      <c r="J280" s="421"/>
      <c r="K280" s="401"/>
      <c r="L280" s="538"/>
      <c r="M280" s="203"/>
      <c r="N280" s="399"/>
      <c r="O280" s="400"/>
    </row>
    <row r="281" spans="3:15">
      <c r="C281" s="428"/>
      <c r="E281" s="428"/>
      <c r="F281" s="429"/>
      <c r="G281" s="430"/>
      <c r="H281" s="429"/>
      <c r="I281" s="421"/>
      <c r="J281" s="421"/>
      <c r="K281" s="401"/>
      <c r="L281" s="538"/>
      <c r="M281" s="203"/>
      <c r="N281" s="399"/>
      <c r="O281" s="400"/>
    </row>
    <row r="282" spans="3:15">
      <c r="C282" s="428"/>
      <c r="E282" s="428"/>
      <c r="F282" s="429"/>
      <c r="G282" s="430"/>
      <c r="H282" s="429"/>
      <c r="I282" s="421"/>
      <c r="J282" s="421"/>
      <c r="K282" s="401"/>
      <c r="L282" s="538"/>
      <c r="M282" s="203"/>
      <c r="N282" s="399"/>
      <c r="O282" s="400"/>
    </row>
    <row r="283" spans="3:15">
      <c r="C283" s="428"/>
      <c r="E283" s="428"/>
      <c r="F283" s="429"/>
      <c r="G283" s="430"/>
      <c r="H283" s="429"/>
      <c r="I283" s="421"/>
      <c r="J283" s="421"/>
      <c r="K283" s="401"/>
      <c r="L283" s="538"/>
      <c r="M283" s="203"/>
      <c r="N283" s="399"/>
      <c r="O283" s="400"/>
    </row>
    <row r="284" spans="3:15">
      <c r="C284" s="428"/>
      <c r="E284" s="428"/>
      <c r="F284" s="429"/>
      <c r="G284" s="430"/>
      <c r="H284" s="429"/>
      <c r="I284" s="421"/>
      <c r="J284" s="421"/>
      <c r="K284" s="401"/>
      <c r="L284" s="538"/>
      <c r="M284" s="203"/>
      <c r="N284" s="399"/>
      <c r="O284" s="400"/>
    </row>
    <row r="285" spans="3:15">
      <c r="C285" s="428"/>
      <c r="E285" s="428"/>
      <c r="F285" s="429"/>
      <c r="G285" s="430"/>
      <c r="H285" s="429"/>
      <c r="I285" s="421"/>
      <c r="J285" s="421"/>
      <c r="K285" s="401"/>
      <c r="L285" s="538"/>
      <c r="M285" s="203"/>
      <c r="N285" s="399"/>
      <c r="O285" s="400"/>
    </row>
    <row r="286" spans="3:15">
      <c r="C286" s="428"/>
      <c r="E286" s="428"/>
      <c r="F286" s="429"/>
      <c r="G286" s="430"/>
      <c r="H286" s="429"/>
      <c r="I286" s="421"/>
      <c r="J286" s="421"/>
      <c r="K286" s="401"/>
      <c r="L286" s="538"/>
      <c r="M286" s="203"/>
      <c r="N286" s="399"/>
      <c r="O286" s="400"/>
    </row>
    <row r="287" spans="3:15">
      <c r="C287" s="428"/>
      <c r="E287" s="428"/>
      <c r="F287" s="429"/>
      <c r="G287" s="430"/>
      <c r="H287" s="429"/>
      <c r="I287" s="421"/>
      <c r="J287" s="421"/>
      <c r="K287" s="401"/>
      <c r="L287" s="538"/>
      <c r="M287" s="203"/>
      <c r="N287" s="399"/>
      <c r="O287" s="400"/>
    </row>
    <row r="288" spans="3:15">
      <c r="C288" s="428"/>
      <c r="E288" s="428"/>
      <c r="F288" s="429"/>
      <c r="G288" s="430"/>
      <c r="H288" s="429"/>
      <c r="I288" s="421"/>
      <c r="J288" s="421"/>
      <c r="K288" s="401"/>
      <c r="L288" s="538"/>
      <c r="M288" s="203"/>
      <c r="N288" s="399"/>
      <c r="O288" s="400"/>
    </row>
    <row r="289" spans="3:15">
      <c r="C289" s="428"/>
      <c r="E289" s="428"/>
      <c r="F289" s="429"/>
      <c r="G289" s="430"/>
      <c r="H289" s="429"/>
      <c r="I289" s="421"/>
      <c r="J289" s="421"/>
      <c r="K289" s="401"/>
      <c r="L289" s="538"/>
      <c r="M289" s="203"/>
      <c r="N289" s="399"/>
      <c r="O289" s="400"/>
    </row>
    <row r="290" spans="3:15">
      <c r="C290" s="428"/>
      <c r="E290" s="428"/>
      <c r="F290" s="429"/>
      <c r="G290" s="430"/>
      <c r="H290" s="429"/>
      <c r="I290" s="421"/>
      <c r="J290" s="421"/>
      <c r="K290" s="401"/>
      <c r="L290" s="538"/>
      <c r="M290" s="203"/>
      <c r="N290" s="399"/>
      <c r="O290" s="400"/>
    </row>
    <row r="291" spans="3:15">
      <c r="C291" s="428"/>
      <c r="E291" s="428"/>
      <c r="F291" s="429"/>
      <c r="G291" s="430"/>
      <c r="H291" s="429"/>
      <c r="I291" s="421"/>
      <c r="J291" s="421"/>
      <c r="K291" s="401"/>
      <c r="L291" s="538"/>
      <c r="M291" s="203"/>
      <c r="N291" s="399"/>
      <c r="O291" s="400"/>
    </row>
    <row r="292" spans="3:15">
      <c r="C292" s="428"/>
      <c r="E292" s="428"/>
      <c r="F292" s="429"/>
      <c r="G292" s="430"/>
      <c r="H292" s="429"/>
      <c r="I292" s="421"/>
      <c r="J292" s="421"/>
      <c r="K292" s="401"/>
      <c r="L292" s="538"/>
      <c r="M292" s="203"/>
      <c r="N292" s="399"/>
      <c r="O292" s="400"/>
    </row>
    <row r="293" spans="3:15">
      <c r="C293" s="428"/>
      <c r="E293" s="428"/>
      <c r="F293" s="429"/>
      <c r="G293" s="430"/>
      <c r="H293" s="429"/>
      <c r="I293" s="421"/>
      <c r="J293" s="421"/>
      <c r="K293" s="401"/>
      <c r="L293" s="538"/>
      <c r="M293" s="203"/>
      <c r="N293" s="399"/>
      <c r="O293" s="400"/>
    </row>
    <row r="294" spans="3:15">
      <c r="C294" s="428"/>
      <c r="E294" s="428"/>
      <c r="F294" s="429"/>
      <c r="G294" s="430"/>
      <c r="H294" s="429"/>
      <c r="I294" s="421"/>
      <c r="J294" s="421"/>
      <c r="K294" s="401"/>
      <c r="L294" s="538"/>
      <c r="M294" s="203"/>
      <c r="N294" s="399"/>
      <c r="O294" s="400"/>
    </row>
    <row r="295" spans="3:15">
      <c r="C295" s="428"/>
      <c r="E295" s="428"/>
      <c r="F295" s="429"/>
      <c r="G295" s="430"/>
      <c r="H295" s="429"/>
      <c r="I295" s="421"/>
      <c r="J295" s="421"/>
      <c r="K295" s="401"/>
      <c r="L295" s="538"/>
      <c r="M295" s="203"/>
      <c r="N295" s="399"/>
      <c r="O295" s="400"/>
    </row>
    <row r="296" spans="3:15">
      <c r="C296" s="428"/>
      <c r="E296" s="428"/>
      <c r="F296" s="429"/>
      <c r="G296" s="430"/>
      <c r="H296" s="429"/>
      <c r="I296" s="421"/>
      <c r="J296" s="421"/>
      <c r="K296" s="401"/>
      <c r="L296" s="538"/>
      <c r="M296" s="203"/>
      <c r="N296" s="399"/>
      <c r="O296" s="400"/>
    </row>
    <row r="297" spans="3:15">
      <c r="C297" s="428"/>
      <c r="E297" s="428"/>
      <c r="F297" s="429"/>
      <c r="G297" s="430"/>
      <c r="H297" s="429"/>
      <c r="I297" s="421"/>
      <c r="J297" s="421"/>
      <c r="K297" s="401"/>
      <c r="L297" s="538"/>
      <c r="M297" s="203"/>
      <c r="N297" s="399"/>
      <c r="O297" s="400"/>
    </row>
    <row r="298" spans="3:15">
      <c r="C298" s="428"/>
      <c r="E298" s="428"/>
      <c r="F298" s="429"/>
      <c r="G298" s="430"/>
      <c r="H298" s="429"/>
      <c r="I298" s="421"/>
      <c r="J298" s="421"/>
      <c r="K298" s="401"/>
      <c r="L298" s="538"/>
      <c r="M298" s="203"/>
      <c r="N298" s="399"/>
      <c r="O298" s="400"/>
    </row>
    <row r="299" spans="3:15">
      <c r="C299" s="428"/>
      <c r="E299" s="428"/>
      <c r="F299" s="429"/>
      <c r="G299" s="430"/>
      <c r="H299" s="429"/>
      <c r="I299" s="421"/>
      <c r="J299" s="421"/>
      <c r="K299" s="401"/>
      <c r="L299" s="538"/>
      <c r="M299" s="203"/>
      <c r="N299" s="399"/>
      <c r="O299" s="400"/>
    </row>
    <row r="300" spans="3:15">
      <c r="C300" s="428"/>
      <c r="E300" s="428"/>
      <c r="F300" s="429"/>
      <c r="G300" s="430"/>
      <c r="H300" s="429"/>
      <c r="I300" s="421"/>
      <c r="J300" s="421"/>
      <c r="K300" s="401"/>
      <c r="L300" s="538"/>
      <c r="M300" s="203"/>
      <c r="N300" s="399"/>
      <c r="O300" s="400"/>
    </row>
    <row r="301" spans="3:15">
      <c r="C301" s="428"/>
      <c r="E301" s="428"/>
      <c r="F301" s="429"/>
      <c r="G301" s="430"/>
      <c r="H301" s="429"/>
      <c r="I301" s="421"/>
      <c r="J301" s="421"/>
      <c r="K301" s="401"/>
      <c r="L301" s="538"/>
      <c r="M301" s="203"/>
      <c r="N301" s="399"/>
      <c r="O301" s="400"/>
    </row>
    <row r="302" spans="3:15">
      <c r="C302" s="428"/>
      <c r="E302" s="428"/>
      <c r="F302" s="429"/>
      <c r="G302" s="430"/>
      <c r="H302" s="429"/>
      <c r="I302" s="421"/>
      <c r="J302" s="421"/>
      <c r="K302" s="401"/>
      <c r="L302" s="538"/>
      <c r="M302" s="203"/>
      <c r="N302" s="399"/>
      <c r="O302" s="400"/>
    </row>
    <row r="303" spans="3:15">
      <c r="C303" s="428"/>
      <c r="E303" s="428"/>
      <c r="F303" s="429"/>
      <c r="G303" s="430"/>
      <c r="H303" s="429"/>
      <c r="I303" s="421"/>
      <c r="J303" s="421"/>
      <c r="K303" s="401"/>
      <c r="L303" s="538"/>
      <c r="M303" s="203"/>
      <c r="N303" s="399"/>
      <c r="O303" s="400"/>
    </row>
    <row r="304" spans="3:15">
      <c r="C304" s="428"/>
      <c r="E304" s="428"/>
      <c r="F304" s="429"/>
      <c r="G304" s="430"/>
      <c r="H304" s="429"/>
      <c r="I304" s="421"/>
      <c r="J304" s="421"/>
      <c r="K304" s="401"/>
      <c r="L304" s="538"/>
      <c r="M304" s="203"/>
      <c r="N304" s="399"/>
      <c r="O304" s="400"/>
    </row>
    <row r="305" spans="3:15">
      <c r="C305" s="428"/>
      <c r="E305" s="428"/>
      <c r="F305" s="429"/>
      <c r="G305" s="430"/>
      <c r="H305" s="429"/>
      <c r="I305" s="421"/>
      <c r="J305" s="421"/>
      <c r="K305" s="401"/>
      <c r="L305" s="538"/>
      <c r="M305" s="203"/>
      <c r="N305" s="399"/>
      <c r="O305" s="400"/>
    </row>
    <row r="306" spans="3:15">
      <c r="C306" s="428"/>
      <c r="E306" s="428"/>
      <c r="F306" s="429"/>
      <c r="G306" s="430"/>
      <c r="H306" s="429"/>
      <c r="I306" s="421"/>
      <c r="J306" s="421"/>
      <c r="K306" s="401"/>
      <c r="L306" s="538"/>
      <c r="M306" s="203"/>
      <c r="N306" s="399"/>
      <c r="O306" s="400"/>
    </row>
    <row r="307" spans="3:15">
      <c r="C307" s="428"/>
      <c r="E307" s="428"/>
      <c r="F307" s="429"/>
      <c r="G307" s="430"/>
      <c r="H307" s="429"/>
      <c r="I307" s="421"/>
      <c r="J307" s="421"/>
      <c r="K307" s="401"/>
      <c r="L307" s="538"/>
      <c r="M307" s="203"/>
      <c r="N307" s="399"/>
      <c r="O307" s="400"/>
    </row>
    <row r="308" spans="3:15">
      <c r="C308" s="428"/>
      <c r="E308" s="428"/>
      <c r="F308" s="429"/>
      <c r="G308" s="430"/>
      <c r="H308" s="429"/>
      <c r="I308" s="421"/>
      <c r="J308" s="421"/>
      <c r="K308" s="401"/>
      <c r="L308" s="538"/>
      <c r="M308" s="203"/>
      <c r="N308" s="399"/>
      <c r="O308" s="400"/>
    </row>
    <row r="309" spans="3:15">
      <c r="C309" s="428"/>
      <c r="E309" s="428"/>
      <c r="F309" s="429"/>
      <c r="G309" s="430"/>
      <c r="H309" s="429"/>
      <c r="I309" s="421"/>
      <c r="J309" s="421"/>
      <c r="K309" s="401"/>
      <c r="L309" s="538"/>
      <c r="M309" s="203"/>
      <c r="N309" s="399"/>
      <c r="O309" s="400"/>
    </row>
    <row r="310" spans="3:15">
      <c r="C310" s="428"/>
      <c r="E310" s="428"/>
      <c r="F310" s="429"/>
      <c r="G310" s="430"/>
      <c r="H310" s="429"/>
      <c r="I310" s="421"/>
      <c r="J310" s="421"/>
      <c r="K310" s="401"/>
      <c r="L310" s="538"/>
      <c r="M310" s="203"/>
      <c r="N310" s="399"/>
      <c r="O310" s="400"/>
    </row>
    <row r="311" spans="3:15">
      <c r="C311" s="428"/>
      <c r="E311" s="428"/>
      <c r="F311" s="429"/>
      <c r="G311" s="430"/>
      <c r="H311" s="429"/>
      <c r="I311" s="421"/>
      <c r="J311" s="421"/>
      <c r="K311" s="401"/>
      <c r="L311" s="538"/>
      <c r="M311" s="203"/>
      <c r="N311" s="399"/>
      <c r="O311" s="400"/>
    </row>
    <row r="312" spans="3:15">
      <c r="C312" s="428"/>
      <c r="E312" s="428"/>
      <c r="F312" s="429"/>
      <c r="G312" s="430"/>
      <c r="H312" s="429"/>
      <c r="I312" s="421"/>
      <c r="J312" s="421"/>
      <c r="K312" s="401"/>
      <c r="L312" s="538"/>
      <c r="M312" s="203"/>
      <c r="N312" s="399"/>
      <c r="O312" s="400"/>
    </row>
    <row r="313" spans="3:15">
      <c r="C313" s="428"/>
      <c r="E313" s="428"/>
      <c r="F313" s="429"/>
      <c r="G313" s="430"/>
      <c r="H313" s="429"/>
      <c r="I313" s="421"/>
      <c r="J313" s="421"/>
      <c r="K313" s="401"/>
      <c r="L313" s="538"/>
      <c r="M313" s="203"/>
      <c r="N313" s="399"/>
      <c r="O313" s="400"/>
    </row>
    <row r="314" spans="3:15">
      <c r="C314" s="428"/>
      <c r="E314" s="428"/>
      <c r="F314" s="429"/>
      <c r="G314" s="430"/>
      <c r="H314" s="429"/>
      <c r="I314" s="421"/>
      <c r="J314" s="421"/>
      <c r="K314" s="401"/>
      <c r="L314" s="538"/>
      <c r="M314" s="203"/>
      <c r="N314" s="399"/>
      <c r="O314" s="400"/>
    </row>
    <row r="315" spans="3:15">
      <c r="C315" s="428"/>
      <c r="E315" s="428"/>
      <c r="F315" s="429"/>
      <c r="G315" s="430"/>
      <c r="H315" s="429"/>
      <c r="I315" s="421"/>
      <c r="J315" s="421"/>
      <c r="K315" s="401"/>
      <c r="L315" s="538"/>
      <c r="M315" s="203"/>
      <c r="N315" s="399"/>
      <c r="O315" s="400"/>
    </row>
    <row r="316" spans="3:15">
      <c r="C316" s="428"/>
      <c r="E316" s="428"/>
      <c r="F316" s="429"/>
      <c r="G316" s="430"/>
      <c r="H316" s="429"/>
      <c r="I316" s="421"/>
      <c r="J316" s="421"/>
      <c r="K316" s="401"/>
      <c r="L316" s="538"/>
      <c r="M316" s="203"/>
      <c r="N316" s="399"/>
      <c r="O316" s="400"/>
    </row>
    <row r="317" spans="3:15">
      <c r="C317" s="428"/>
      <c r="E317" s="428"/>
      <c r="F317" s="429"/>
      <c r="G317" s="430"/>
      <c r="H317" s="429"/>
      <c r="I317" s="421"/>
      <c r="J317" s="421"/>
      <c r="K317" s="401"/>
      <c r="L317" s="538"/>
      <c r="M317" s="203"/>
      <c r="N317" s="399"/>
      <c r="O317" s="400"/>
    </row>
    <row r="318" spans="3:15">
      <c r="C318" s="428"/>
      <c r="E318" s="428"/>
      <c r="F318" s="429"/>
      <c r="G318" s="430"/>
      <c r="H318" s="429"/>
      <c r="I318" s="421"/>
      <c r="J318" s="421"/>
      <c r="K318" s="401"/>
      <c r="L318" s="538"/>
      <c r="M318" s="203"/>
      <c r="N318" s="399"/>
      <c r="O318" s="400"/>
    </row>
    <row r="319" spans="3:15">
      <c r="C319" s="428"/>
      <c r="E319" s="428"/>
      <c r="F319" s="429"/>
      <c r="G319" s="430"/>
      <c r="H319" s="429"/>
      <c r="I319" s="421"/>
      <c r="J319" s="421"/>
      <c r="K319" s="401"/>
      <c r="L319" s="538"/>
      <c r="M319" s="203"/>
      <c r="N319" s="399"/>
      <c r="O319" s="400"/>
    </row>
    <row r="320" spans="3:15">
      <c r="C320" s="428"/>
      <c r="E320" s="428"/>
      <c r="F320" s="429"/>
      <c r="G320" s="430"/>
      <c r="H320" s="429"/>
      <c r="I320" s="421"/>
      <c r="J320" s="421"/>
      <c r="K320" s="401"/>
      <c r="L320" s="538"/>
      <c r="M320" s="203"/>
      <c r="N320" s="399"/>
      <c r="O320" s="400"/>
    </row>
    <row r="321" spans="3:15">
      <c r="C321" s="428"/>
      <c r="E321" s="428"/>
      <c r="F321" s="429"/>
      <c r="G321" s="430"/>
      <c r="H321" s="429"/>
      <c r="I321" s="421"/>
      <c r="J321" s="421"/>
      <c r="K321" s="401"/>
      <c r="L321" s="538"/>
      <c r="M321" s="203"/>
      <c r="N321" s="399"/>
      <c r="O321" s="400"/>
    </row>
    <row r="322" spans="3:15">
      <c r="C322" s="428"/>
      <c r="E322" s="428"/>
      <c r="F322" s="429"/>
      <c r="G322" s="430"/>
      <c r="H322" s="429"/>
      <c r="I322" s="421"/>
      <c r="J322" s="421"/>
      <c r="K322" s="401"/>
      <c r="L322" s="538"/>
      <c r="M322" s="203"/>
      <c r="N322" s="399"/>
      <c r="O322" s="400"/>
    </row>
    <row r="323" spans="3:15">
      <c r="C323" s="428"/>
      <c r="E323" s="428"/>
      <c r="F323" s="429"/>
      <c r="G323" s="430"/>
      <c r="H323" s="429"/>
      <c r="I323" s="421"/>
      <c r="J323" s="421"/>
      <c r="K323" s="401"/>
      <c r="L323" s="538"/>
      <c r="M323" s="203"/>
      <c r="N323" s="399"/>
      <c r="O323" s="400"/>
    </row>
    <row r="324" spans="3:15">
      <c r="C324" s="428"/>
      <c r="E324" s="428"/>
      <c r="F324" s="429"/>
      <c r="G324" s="430"/>
      <c r="H324" s="429"/>
      <c r="I324" s="421"/>
      <c r="J324" s="421"/>
      <c r="K324" s="401"/>
      <c r="L324" s="538"/>
      <c r="M324" s="203"/>
      <c r="N324" s="399"/>
      <c r="O324" s="400"/>
    </row>
    <row r="325" spans="3:15">
      <c r="C325" s="428"/>
      <c r="E325" s="428"/>
      <c r="F325" s="429"/>
      <c r="G325" s="430"/>
      <c r="H325" s="429"/>
      <c r="I325" s="421"/>
      <c r="J325" s="421"/>
      <c r="K325" s="401"/>
      <c r="L325" s="538"/>
      <c r="M325" s="203"/>
      <c r="N325" s="399"/>
      <c r="O325" s="400"/>
    </row>
    <row r="326" spans="3:15">
      <c r="C326" s="428"/>
      <c r="E326" s="428"/>
      <c r="F326" s="429"/>
      <c r="G326" s="430"/>
      <c r="H326" s="429"/>
      <c r="I326" s="421"/>
      <c r="J326" s="421"/>
      <c r="K326" s="401"/>
      <c r="L326" s="538"/>
      <c r="M326" s="203"/>
      <c r="N326" s="399"/>
      <c r="O326" s="400"/>
    </row>
    <row r="327" spans="3:15">
      <c r="C327" s="428"/>
      <c r="E327" s="428"/>
      <c r="F327" s="429"/>
      <c r="G327" s="430"/>
      <c r="H327" s="429"/>
      <c r="I327" s="421"/>
      <c r="J327" s="421"/>
      <c r="K327" s="401"/>
      <c r="L327" s="538"/>
      <c r="M327" s="203"/>
      <c r="N327" s="399"/>
      <c r="O327" s="400"/>
    </row>
    <row r="328" spans="3:15">
      <c r="C328" s="428"/>
      <c r="E328" s="428"/>
      <c r="F328" s="429"/>
      <c r="G328" s="430"/>
      <c r="H328" s="429"/>
      <c r="I328" s="421"/>
      <c r="J328" s="421"/>
      <c r="K328" s="401"/>
      <c r="L328" s="538"/>
      <c r="M328" s="203"/>
      <c r="N328" s="399"/>
      <c r="O328" s="400"/>
    </row>
    <row r="329" spans="3:15">
      <c r="C329" s="428"/>
      <c r="E329" s="428"/>
      <c r="F329" s="429"/>
      <c r="G329" s="430"/>
      <c r="H329" s="429"/>
      <c r="I329" s="421"/>
      <c r="J329" s="421"/>
      <c r="K329" s="401"/>
      <c r="L329" s="538"/>
      <c r="M329" s="203"/>
      <c r="N329" s="399"/>
      <c r="O329" s="400"/>
    </row>
    <row r="330" spans="3:15">
      <c r="C330" s="428"/>
      <c r="E330" s="428"/>
      <c r="F330" s="429"/>
      <c r="G330" s="430"/>
      <c r="H330" s="429"/>
      <c r="I330" s="421"/>
      <c r="J330" s="421"/>
      <c r="K330" s="401"/>
      <c r="L330" s="538"/>
      <c r="M330" s="203"/>
      <c r="N330" s="399"/>
      <c r="O330" s="400"/>
    </row>
    <row r="331" spans="3:15">
      <c r="C331" s="428"/>
      <c r="E331" s="428"/>
      <c r="F331" s="429"/>
      <c r="G331" s="430"/>
      <c r="H331" s="429"/>
      <c r="I331" s="421"/>
      <c r="J331" s="421"/>
      <c r="K331" s="401"/>
      <c r="L331" s="538"/>
      <c r="M331" s="203"/>
      <c r="N331" s="399"/>
      <c r="O331" s="400"/>
    </row>
    <row r="332" spans="3:15">
      <c r="C332" s="428"/>
      <c r="E332" s="428"/>
      <c r="F332" s="429"/>
      <c r="G332" s="430"/>
      <c r="H332" s="429"/>
      <c r="I332" s="421"/>
      <c r="J332" s="421"/>
      <c r="K332" s="401"/>
      <c r="L332" s="538"/>
      <c r="M332" s="203"/>
      <c r="N332" s="399"/>
      <c r="O332" s="400"/>
    </row>
    <row r="333" spans="3:15">
      <c r="C333" s="428"/>
      <c r="E333" s="428"/>
      <c r="F333" s="429"/>
      <c r="G333" s="430"/>
      <c r="H333" s="429"/>
      <c r="I333" s="421"/>
      <c r="J333" s="421"/>
      <c r="K333" s="401"/>
      <c r="L333" s="538"/>
      <c r="M333" s="203"/>
      <c r="N333" s="399"/>
      <c r="O333" s="400"/>
    </row>
    <row r="334" spans="3:15">
      <c r="C334" s="428"/>
      <c r="E334" s="428"/>
      <c r="F334" s="429"/>
      <c r="G334" s="430"/>
      <c r="H334" s="429"/>
      <c r="I334" s="421"/>
      <c r="J334" s="421"/>
      <c r="K334" s="401"/>
      <c r="L334" s="538"/>
      <c r="M334" s="203"/>
      <c r="N334" s="399"/>
      <c r="O334" s="400"/>
    </row>
    <row r="335" spans="3:15">
      <c r="C335" s="428"/>
      <c r="E335" s="428"/>
      <c r="F335" s="429"/>
      <c r="G335" s="430"/>
      <c r="H335" s="429"/>
      <c r="I335" s="421"/>
      <c r="J335" s="421"/>
      <c r="K335" s="401"/>
      <c r="L335" s="538"/>
      <c r="M335" s="203"/>
      <c r="N335" s="399"/>
      <c r="O335" s="400"/>
    </row>
    <row r="336" spans="3:15">
      <c r="C336" s="428"/>
      <c r="E336" s="428"/>
      <c r="F336" s="429"/>
      <c r="G336" s="430"/>
      <c r="H336" s="429"/>
      <c r="I336" s="421"/>
      <c r="J336" s="421"/>
      <c r="K336" s="401"/>
      <c r="L336" s="538"/>
      <c r="M336" s="203"/>
      <c r="N336" s="399"/>
      <c r="O336" s="400"/>
    </row>
    <row r="337" spans="3:15">
      <c r="C337" s="428"/>
      <c r="E337" s="428"/>
      <c r="F337" s="429"/>
      <c r="G337" s="430"/>
      <c r="H337" s="429"/>
      <c r="I337" s="421"/>
      <c r="J337" s="421"/>
      <c r="K337" s="401"/>
      <c r="L337" s="538"/>
      <c r="M337" s="203"/>
      <c r="N337" s="399"/>
      <c r="O337" s="400"/>
    </row>
    <row r="338" spans="3:15">
      <c r="C338" s="428"/>
      <c r="E338" s="428"/>
      <c r="F338" s="429"/>
      <c r="G338" s="430"/>
      <c r="H338" s="429"/>
      <c r="I338" s="421"/>
      <c r="J338" s="421"/>
      <c r="K338" s="401"/>
      <c r="L338" s="538"/>
      <c r="M338" s="203"/>
      <c r="N338" s="399"/>
      <c r="O338" s="400"/>
    </row>
    <row r="339" spans="3:15">
      <c r="C339" s="428"/>
      <c r="E339" s="428"/>
      <c r="F339" s="429"/>
      <c r="G339" s="430"/>
      <c r="H339" s="429"/>
      <c r="I339" s="421"/>
      <c r="J339" s="421"/>
      <c r="K339" s="401"/>
      <c r="L339" s="538"/>
      <c r="M339" s="203"/>
      <c r="N339" s="399"/>
      <c r="O339" s="400"/>
    </row>
    <row r="340" spans="3:15">
      <c r="E340" s="428"/>
      <c r="H340" s="429"/>
      <c r="I340" s="421"/>
      <c r="J340" s="421"/>
      <c r="K340" s="401"/>
      <c r="L340" s="538"/>
      <c r="M340" s="203"/>
      <c r="N340" s="399"/>
      <c r="O340" s="400"/>
    </row>
    <row r="341" spans="3:15">
      <c r="E341" s="428"/>
      <c r="H341" s="429"/>
      <c r="I341" s="421"/>
      <c r="J341" s="421"/>
      <c r="K341" s="401"/>
      <c r="L341" s="538"/>
      <c r="M341" s="203"/>
      <c r="N341" s="399"/>
      <c r="O341" s="400"/>
    </row>
    <row r="342" spans="3:15">
      <c r="E342" s="428"/>
      <c r="H342" s="429"/>
      <c r="I342" s="421"/>
      <c r="J342" s="421"/>
      <c r="K342" s="401"/>
      <c r="L342" s="538"/>
      <c r="M342" s="203"/>
      <c r="N342" s="399"/>
      <c r="O342" s="400"/>
    </row>
    <row r="343" spans="3:15">
      <c r="E343" s="428"/>
      <c r="H343" s="429"/>
      <c r="I343" s="421"/>
      <c r="J343" s="421"/>
      <c r="K343" s="401"/>
      <c r="L343" s="538"/>
      <c r="M343" s="203"/>
      <c r="N343" s="399"/>
      <c r="O343" s="400"/>
    </row>
    <row r="344" spans="3:15">
      <c r="E344" s="428"/>
      <c r="H344" s="429"/>
      <c r="I344" s="421"/>
      <c r="J344" s="421"/>
      <c r="K344" s="401"/>
      <c r="L344" s="538"/>
      <c r="M344" s="203"/>
      <c r="N344" s="399"/>
      <c r="O344" s="400"/>
    </row>
    <row r="345" spans="3:15">
      <c r="E345" s="428"/>
      <c r="H345" s="429"/>
      <c r="I345" s="421"/>
      <c r="J345" s="421"/>
      <c r="K345" s="401"/>
      <c r="L345" s="538"/>
      <c r="M345" s="203"/>
      <c r="N345" s="399"/>
      <c r="O345" s="400"/>
    </row>
    <row r="346" spans="3:15">
      <c r="E346" s="428"/>
      <c r="H346" s="429"/>
      <c r="I346" s="421"/>
      <c r="J346" s="421"/>
      <c r="K346" s="401"/>
      <c r="L346" s="538"/>
      <c r="M346" s="203"/>
      <c r="N346" s="399"/>
      <c r="O346" s="400"/>
    </row>
    <row r="347" spans="3:15">
      <c r="E347" s="428"/>
      <c r="H347" s="429"/>
      <c r="I347" s="421"/>
      <c r="J347" s="421"/>
      <c r="K347" s="401"/>
      <c r="L347" s="538"/>
      <c r="M347" s="203"/>
      <c r="N347" s="399"/>
      <c r="O347" s="400"/>
    </row>
    <row r="348" spans="3:15">
      <c r="E348" s="428"/>
      <c r="H348" s="429"/>
      <c r="I348" s="421"/>
      <c r="J348" s="421"/>
      <c r="K348" s="401"/>
      <c r="L348" s="538"/>
      <c r="M348" s="203"/>
      <c r="N348" s="399"/>
      <c r="O348" s="400"/>
    </row>
    <row r="349" spans="3:15">
      <c r="E349" s="428"/>
      <c r="H349" s="429"/>
      <c r="I349" s="421"/>
      <c r="J349" s="421"/>
      <c r="K349" s="401"/>
      <c r="L349" s="538"/>
      <c r="M349" s="203"/>
      <c r="N349" s="399"/>
      <c r="O349" s="400"/>
    </row>
    <row r="350" spans="3:15">
      <c r="E350" s="428"/>
      <c r="H350" s="429"/>
      <c r="I350" s="421"/>
      <c r="J350" s="421"/>
      <c r="K350" s="401"/>
      <c r="L350" s="538"/>
      <c r="M350" s="203"/>
      <c r="N350" s="399"/>
      <c r="O350" s="400"/>
    </row>
    <row r="351" spans="3:15">
      <c r="E351" s="428"/>
      <c r="H351" s="429"/>
      <c r="I351" s="421"/>
      <c r="J351" s="421"/>
      <c r="K351" s="401"/>
      <c r="L351" s="538"/>
      <c r="M351" s="203"/>
      <c r="N351" s="399"/>
      <c r="O351" s="400"/>
    </row>
    <row r="352" spans="3:15">
      <c r="E352" s="428"/>
      <c r="H352" s="429"/>
      <c r="I352" s="421"/>
      <c r="J352" s="421"/>
      <c r="K352" s="401"/>
      <c r="L352" s="538"/>
      <c r="M352" s="203"/>
      <c r="N352" s="399"/>
      <c r="O352" s="400"/>
    </row>
    <row r="353" spans="5:15">
      <c r="E353" s="428"/>
      <c r="H353" s="429"/>
      <c r="I353" s="421"/>
      <c r="J353" s="421"/>
      <c r="K353" s="401"/>
      <c r="L353" s="538"/>
      <c r="M353" s="203"/>
      <c r="N353" s="399"/>
      <c r="O353" s="400"/>
    </row>
    <row r="354" spans="5:15">
      <c r="E354" s="428"/>
      <c r="H354" s="429"/>
      <c r="I354" s="421"/>
      <c r="J354" s="421"/>
      <c r="K354" s="401"/>
      <c r="L354" s="538"/>
      <c r="M354" s="203"/>
      <c r="N354" s="399"/>
      <c r="O354" s="400"/>
    </row>
    <row r="355" spans="5:15">
      <c r="E355" s="428"/>
      <c r="H355" s="429"/>
      <c r="I355" s="421"/>
      <c r="J355" s="421"/>
      <c r="K355" s="401"/>
      <c r="L355" s="538"/>
      <c r="M355" s="203"/>
      <c r="N355" s="399"/>
      <c r="O355" s="400"/>
    </row>
    <row r="356" spans="5:15">
      <c r="E356" s="428"/>
      <c r="H356" s="429"/>
      <c r="I356" s="421"/>
      <c r="J356" s="421"/>
      <c r="K356" s="401"/>
      <c r="L356" s="538"/>
      <c r="M356" s="203"/>
      <c r="N356" s="399"/>
      <c r="O356" s="400"/>
    </row>
    <row r="357" spans="5:15">
      <c r="E357" s="428"/>
      <c r="H357" s="429"/>
      <c r="I357" s="421"/>
      <c r="J357" s="421"/>
      <c r="K357" s="401"/>
      <c r="L357" s="538"/>
      <c r="M357" s="203"/>
      <c r="N357" s="399"/>
      <c r="O357" s="400"/>
    </row>
    <row r="358" spans="5:15">
      <c r="E358" s="428"/>
      <c r="H358" s="429"/>
      <c r="I358" s="421"/>
      <c r="J358" s="421"/>
      <c r="K358" s="401"/>
      <c r="L358" s="538"/>
      <c r="M358" s="203"/>
      <c r="N358" s="399"/>
      <c r="O358" s="400"/>
    </row>
    <row r="359" spans="5:15">
      <c r="E359" s="428"/>
      <c r="H359" s="429"/>
      <c r="I359" s="421"/>
      <c r="J359" s="421"/>
      <c r="K359" s="401"/>
      <c r="L359" s="538"/>
      <c r="M359" s="203"/>
      <c r="N359" s="399"/>
      <c r="O359" s="400"/>
    </row>
    <row r="360" spans="5:15">
      <c r="E360" s="428"/>
      <c r="H360" s="429"/>
      <c r="I360" s="421"/>
      <c r="J360" s="421"/>
      <c r="K360" s="401"/>
      <c r="L360" s="538"/>
      <c r="M360" s="203"/>
      <c r="N360" s="399"/>
      <c r="O360" s="400"/>
    </row>
    <row r="361" spans="5:15">
      <c r="E361" s="428"/>
      <c r="H361" s="429"/>
      <c r="I361" s="421"/>
      <c r="J361" s="421"/>
      <c r="K361" s="401"/>
      <c r="L361" s="538"/>
      <c r="M361" s="203"/>
      <c r="N361" s="399"/>
      <c r="O361" s="400"/>
    </row>
    <row r="362" spans="5:15">
      <c r="E362" s="428"/>
      <c r="H362" s="429"/>
      <c r="I362" s="421"/>
      <c r="J362" s="421"/>
      <c r="K362" s="401"/>
      <c r="L362" s="538"/>
      <c r="M362" s="203"/>
      <c r="N362" s="399"/>
      <c r="O362" s="400"/>
    </row>
    <row r="363" spans="5:15">
      <c r="E363" s="428"/>
      <c r="H363" s="429"/>
      <c r="I363" s="421"/>
      <c r="J363" s="421"/>
      <c r="K363" s="401"/>
      <c r="L363" s="538"/>
      <c r="M363" s="203"/>
      <c r="N363" s="399"/>
      <c r="O363" s="400"/>
    </row>
    <row r="364" spans="5:15">
      <c r="E364" s="428"/>
      <c r="H364" s="429"/>
      <c r="I364" s="421"/>
      <c r="J364" s="421"/>
      <c r="K364" s="401"/>
      <c r="L364" s="538"/>
      <c r="M364" s="203"/>
      <c r="N364" s="399"/>
      <c r="O364" s="400"/>
    </row>
    <row r="365" spans="5:15">
      <c r="E365" s="428"/>
      <c r="H365" s="429"/>
      <c r="I365" s="421"/>
      <c r="J365" s="421"/>
      <c r="K365" s="401"/>
      <c r="L365" s="538"/>
      <c r="M365" s="203"/>
      <c r="N365" s="399"/>
      <c r="O365" s="400"/>
    </row>
    <row r="366" spans="5:15">
      <c r="E366" s="428"/>
      <c r="H366" s="429"/>
      <c r="I366" s="421"/>
      <c r="J366" s="421"/>
      <c r="K366" s="401"/>
      <c r="L366" s="538"/>
      <c r="M366" s="203"/>
      <c r="N366" s="399"/>
      <c r="O366" s="400"/>
    </row>
    <row r="367" spans="5:15">
      <c r="E367" s="428"/>
      <c r="H367" s="429"/>
      <c r="I367" s="421"/>
      <c r="J367" s="421"/>
      <c r="K367" s="401"/>
      <c r="L367" s="538"/>
      <c r="M367" s="203"/>
      <c r="N367" s="399"/>
      <c r="O367" s="400"/>
    </row>
    <row r="368" spans="5:15">
      <c r="E368" s="428"/>
      <c r="H368" s="429"/>
      <c r="I368" s="421"/>
      <c r="J368" s="421"/>
      <c r="K368" s="401"/>
      <c r="L368" s="538"/>
      <c r="M368" s="203"/>
      <c r="N368" s="399"/>
      <c r="O368" s="400"/>
    </row>
    <row r="369" spans="5:15">
      <c r="E369" s="428"/>
      <c r="H369" s="429"/>
      <c r="I369" s="421"/>
      <c r="J369" s="421"/>
      <c r="K369" s="401"/>
      <c r="L369" s="538"/>
      <c r="M369" s="203"/>
      <c r="N369" s="399"/>
      <c r="O369" s="400"/>
    </row>
    <row r="370" spans="5:15">
      <c r="E370" s="428"/>
      <c r="H370" s="429"/>
      <c r="I370" s="421"/>
      <c r="J370" s="421"/>
      <c r="K370" s="401"/>
      <c r="L370" s="538"/>
      <c r="M370" s="203"/>
      <c r="N370" s="399"/>
      <c r="O370" s="400"/>
    </row>
    <row r="371" spans="5:15">
      <c r="E371" s="428"/>
      <c r="H371" s="429"/>
      <c r="I371" s="421"/>
      <c r="J371" s="421"/>
      <c r="K371" s="401"/>
      <c r="L371" s="538"/>
      <c r="M371" s="203"/>
      <c r="N371" s="399"/>
      <c r="O371" s="400"/>
    </row>
    <row r="372" spans="5:15">
      <c r="E372" s="428"/>
      <c r="H372" s="429"/>
      <c r="I372" s="421"/>
      <c r="J372" s="421"/>
      <c r="K372" s="401"/>
      <c r="L372" s="538"/>
      <c r="M372" s="203"/>
      <c r="N372" s="399"/>
      <c r="O372" s="400"/>
    </row>
    <row r="373" spans="5:15">
      <c r="E373" s="428"/>
      <c r="H373" s="429"/>
      <c r="I373" s="421"/>
      <c r="J373" s="421"/>
      <c r="K373" s="401"/>
      <c r="L373" s="538"/>
      <c r="M373" s="203"/>
      <c r="N373" s="399"/>
      <c r="O373" s="400"/>
    </row>
    <row r="374" spans="5:15">
      <c r="E374" s="428"/>
      <c r="H374" s="429"/>
      <c r="I374" s="421"/>
      <c r="J374" s="421"/>
      <c r="K374" s="401"/>
      <c r="L374" s="538"/>
      <c r="M374" s="203"/>
      <c r="N374" s="399"/>
      <c r="O374" s="400"/>
    </row>
    <row r="375" spans="5:15">
      <c r="E375" s="428"/>
      <c r="H375" s="429"/>
      <c r="I375" s="421"/>
      <c r="J375" s="421"/>
      <c r="K375" s="401"/>
      <c r="L375" s="538"/>
      <c r="M375" s="203"/>
      <c r="N375" s="399"/>
      <c r="O375" s="400"/>
    </row>
    <row r="376" spans="5:15">
      <c r="E376" s="428"/>
      <c r="H376" s="429"/>
      <c r="I376" s="421"/>
      <c r="J376" s="421"/>
      <c r="K376" s="401"/>
      <c r="L376" s="538"/>
      <c r="M376" s="203"/>
      <c r="N376" s="399"/>
      <c r="O376" s="400"/>
    </row>
    <row r="377" spans="5:15">
      <c r="E377" s="428"/>
      <c r="H377" s="429"/>
      <c r="I377" s="421"/>
      <c r="J377" s="421"/>
      <c r="K377" s="401"/>
      <c r="L377" s="538"/>
      <c r="M377" s="203"/>
      <c r="N377" s="399"/>
      <c r="O377" s="400"/>
    </row>
    <row r="378" spans="5:15">
      <c r="E378" s="428"/>
      <c r="H378" s="429"/>
      <c r="I378" s="421"/>
      <c r="J378" s="421"/>
      <c r="K378" s="401"/>
      <c r="L378" s="538"/>
      <c r="M378" s="203"/>
      <c r="N378" s="399"/>
      <c r="O378" s="400"/>
    </row>
    <row r="379" spans="5:15">
      <c r="E379" s="428"/>
      <c r="H379" s="429"/>
      <c r="I379" s="421"/>
      <c r="J379" s="421"/>
      <c r="K379" s="401"/>
      <c r="L379" s="538"/>
      <c r="M379" s="203"/>
      <c r="N379" s="399"/>
      <c r="O379" s="400"/>
    </row>
    <row r="380" spans="5:15">
      <c r="E380" s="428"/>
      <c r="H380" s="429"/>
      <c r="I380" s="421"/>
      <c r="J380" s="421"/>
      <c r="K380" s="401"/>
      <c r="L380" s="538"/>
      <c r="M380" s="203"/>
      <c r="N380" s="399"/>
      <c r="O380" s="400"/>
    </row>
    <row r="381" spans="5:15">
      <c r="E381" s="428"/>
      <c r="H381" s="429"/>
      <c r="I381" s="421"/>
      <c r="J381" s="421"/>
      <c r="K381" s="401"/>
      <c r="L381" s="538"/>
      <c r="M381" s="203"/>
      <c r="N381" s="399"/>
      <c r="O381" s="400"/>
    </row>
    <row r="382" spans="5:15">
      <c r="E382" s="428"/>
      <c r="H382" s="429"/>
      <c r="I382" s="421"/>
      <c r="J382" s="421"/>
      <c r="K382" s="401"/>
      <c r="L382" s="538"/>
      <c r="M382" s="203"/>
      <c r="N382" s="399"/>
      <c r="O382" s="400"/>
    </row>
    <row r="383" spans="5:15">
      <c r="E383" s="428"/>
      <c r="H383" s="429"/>
      <c r="I383" s="421"/>
      <c r="J383" s="421"/>
      <c r="K383" s="401"/>
      <c r="L383" s="538"/>
      <c r="M383" s="203"/>
      <c r="N383" s="399"/>
      <c r="O383" s="400"/>
    </row>
    <row r="384" spans="5:15">
      <c r="E384" s="428"/>
      <c r="H384" s="429"/>
      <c r="I384" s="421"/>
      <c r="J384" s="421"/>
      <c r="K384" s="401"/>
      <c r="L384" s="538"/>
      <c r="M384" s="203"/>
      <c r="N384" s="399"/>
      <c r="O384" s="400"/>
    </row>
    <row r="385" spans="5:15">
      <c r="E385" s="428"/>
      <c r="H385" s="429"/>
      <c r="I385" s="421"/>
      <c r="J385" s="421"/>
      <c r="K385" s="401"/>
      <c r="L385" s="538"/>
      <c r="M385" s="203"/>
      <c r="N385" s="399"/>
      <c r="O385" s="400"/>
    </row>
    <row r="386" spans="5:15">
      <c r="E386" s="428"/>
      <c r="H386" s="429"/>
      <c r="I386" s="421"/>
      <c r="J386" s="421"/>
      <c r="K386" s="401"/>
      <c r="L386" s="538"/>
      <c r="M386" s="203"/>
      <c r="N386" s="399"/>
      <c r="O386" s="400"/>
    </row>
    <row r="387" spans="5:15">
      <c r="E387" s="428"/>
      <c r="H387" s="429"/>
      <c r="I387" s="421"/>
      <c r="J387" s="421"/>
      <c r="K387" s="401"/>
      <c r="L387" s="538"/>
      <c r="M387" s="203"/>
      <c r="N387" s="399"/>
      <c r="O387" s="400"/>
    </row>
    <row r="388" spans="5:15">
      <c r="E388" s="428"/>
      <c r="H388" s="429"/>
      <c r="I388" s="421"/>
      <c r="J388" s="421"/>
      <c r="K388" s="401"/>
      <c r="L388" s="538"/>
      <c r="M388" s="203"/>
      <c r="N388" s="399"/>
      <c r="O388" s="400"/>
    </row>
    <row r="389" spans="5:15">
      <c r="E389" s="428"/>
      <c r="H389" s="429"/>
      <c r="I389" s="421"/>
      <c r="J389" s="421"/>
      <c r="K389" s="401"/>
      <c r="L389" s="538"/>
      <c r="M389" s="203"/>
      <c r="N389" s="399"/>
      <c r="O389" s="400"/>
    </row>
    <row r="390" spans="5:15">
      <c r="E390" s="428"/>
      <c r="H390" s="429"/>
      <c r="I390" s="421"/>
      <c r="J390" s="421"/>
      <c r="K390" s="401"/>
      <c r="L390" s="538"/>
      <c r="M390" s="203"/>
      <c r="N390" s="399"/>
      <c r="O390" s="400"/>
    </row>
    <row r="391" spans="5:15">
      <c r="E391" s="428"/>
      <c r="H391" s="429"/>
      <c r="I391" s="421"/>
      <c r="J391" s="421"/>
      <c r="K391" s="401"/>
      <c r="L391" s="538"/>
      <c r="M391" s="203"/>
      <c r="N391" s="399"/>
      <c r="O391" s="400"/>
    </row>
    <row r="392" spans="5:15">
      <c r="E392" s="428"/>
      <c r="H392" s="429"/>
      <c r="I392" s="421"/>
      <c r="J392" s="421"/>
      <c r="K392" s="401"/>
      <c r="L392" s="538"/>
      <c r="M392" s="203"/>
      <c r="N392" s="399"/>
      <c r="O392" s="400"/>
    </row>
    <row r="393" spans="5:15">
      <c r="E393" s="428"/>
      <c r="H393" s="429"/>
      <c r="I393" s="421"/>
      <c r="J393" s="421"/>
      <c r="K393" s="401"/>
      <c r="L393" s="538"/>
      <c r="M393" s="203"/>
      <c r="N393" s="399"/>
      <c r="O393" s="400"/>
    </row>
    <row r="394" spans="5:15">
      <c r="E394" s="428"/>
      <c r="H394" s="429"/>
      <c r="I394" s="421"/>
      <c r="J394" s="421"/>
      <c r="K394" s="401"/>
      <c r="L394" s="538"/>
      <c r="M394" s="203"/>
      <c r="N394" s="399"/>
      <c r="O394" s="400"/>
    </row>
    <row r="395" spans="5:15">
      <c r="E395" s="428"/>
      <c r="H395" s="429"/>
      <c r="I395" s="421"/>
      <c r="J395" s="421"/>
      <c r="K395" s="401"/>
      <c r="L395" s="538"/>
      <c r="M395" s="203"/>
      <c r="N395" s="399"/>
      <c r="O395" s="400"/>
    </row>
    <row r="396" spans="5:15">
      <c r="E396" s="428"/>
      <c r="H396" s="429"/>
      <c r="I396" s="421"/>
      <c r="J396" s="421"/>
      <c r="K396" s="401"/>
      <c r="L396" s="538"/>
      <c r="M396" s="203"/>
      <c r="N396" s="399"/>
      <c r="O396" s="400"/>
    </row>
    <row r="397" spans="5:15">
      <c r="E397" s="428"/>
      <c r="H397" s="429"/>
      <c r="I397" s="421"/>
      <c r="J397" s="421"/>
      <c r="K397" s="401"/>
      <c r="L397" s="538"/>
      <c r="M397" s="203"/>
      <c r="N397" s="399"/>
      <c r="O397" s="400"/>
    </row>
    <row r="398" spans="5:15">
      <c r="E398" s="428"/>
      <c r="H398" s="429"/>
      <c r="I398" s="421"/>
      <c r="J398" s="421"/>
      <c r="K398" s="401"/>
      <c r="L398" s="538"/>
      <c r="M398" s="203"/>
      <c r="N398" s="399"/>
      <c r="O398" s="400"/>
    </row>
    <row r="399" spans="5:15">
      <c r="E399" s="428"/>
      <c r="H399" s="429"/>
      <c r="I399" s="421"/>
      <c r="J399" s="421"/>
      <c r="K399" s="401"/>
      <c r="L399" s="538"/>
      <c r="M399" s="203"/>
      <c r="N399" s="399"/>
      <c r="O399" s="400"/>
    </row>
    <row r="400" spans="5:15">
      <c r="E400" s="428"/>
      <c r="H400" s="429"/>
      <c r="I400" s="421"/>
      <c r="J400" s="421"/>
      <c r="K400" s="401"/>
      <c r="L400" s="538"/>
      <c r="M400" s="203"/>
      <c r="N400" s="399"/>
      <c r="O400" s="400"/>
    </row>
    <row r="401" spans="5:15">
      <c r="E401" s="428"/>
      <c r="H401" s="429"/>
      <c r="I401" s="421"/>
      <c r="J401" s="421"/>
      <c r="K401" s="401"/>
      <c r="L401" s="538"/>
      <c r="M401" s="203"/>
      <c r="N401" s="399"/>
      <c r="O401" s="400"/>
    </row>
    <row r="402" spans="5:15">
      <c r="E402" s="428"/>
      <c r="H402" s="429"/>
      <c r="I402" s="421"/>
      <c r="J402" s="421"/>
      <c r="K402" s="401"/>
      <c r="L402" s="538"/>
      <c r="M402" s="203"/>
      <c r="N402" s="399"/>
      <c r="O402" s="400"/>
    </row>
    <row r="403" spans="5:15">
      <c r="E403" s="428"/>
      <c r="H403" s="429"/>
      <c r="I403" s="421"/>
      <c r="J403" s="421"/>
      <c r="K403" s="401"/>
      <c r="L403" s="538"/>
      <c r="M403" s="203"/>
      <c r="N403" s="399"/>
      <c r="O403" s="400"/>
    </row>
    <row r="404" spans="5:15">
      <c r="E404" s="428"/>
      <c r="H404" s="429"/>
      <c r="I404" s="421"/>
      <c r="J404" s="421"/>
      <c r="K404" s="401"/>
      <c r="L404" s="538"/>
      <c r="M404" s="203"/>
      <c r="N404" s="399"/>
      <c r="O404" s="400"/>
    </row>
    <row r="405" spans="5:15">
      <c r="E405" s="428"/>
      <c r="H405" s="429"/>
      <c r="I405" s="421"/>
      <c r="J405" s="421"/>
      <c r="K405" s="401"/>
      <c r="L405" s="538"/>
      <c r="M405" s="203"/>
      <c r="N405" s="399"/>
      <c r="O405" s="400"/>
    </row>
    <row r="406" spans="5:15">
      <c r="E406" s="428"/>
      <c r="H406" s="429"/>
      <c r="I406" s="421"/>
      <c r="J406" s="421"/>
      <c r="K406" s="401"/>
      <c r="L406" s="538"/>
      <c r="M406" s="203"/>
      <c r="N406" s="399"/>
      <c r="O406" s="400"/>
    </row>
    <row r="407" spans="5:15">
      <c r="E407" s="428"/>
      <c r="H407" s="429"/>
      <c r="I407" s="421"/>
      <c r="J407" s="421"/>
      <c r="K407" s="401"/>
      <c r="L407" s="538"/>
      <c r="M407" s="203"/>
      <c r="N407" s="399"/>
      <c r="O407" s="400"/>
    </row>
    <row r="408" spans="5:15">
      <c r="E408" s="428"/>
      <c r="H408" s="429"/>
      <c r="I408" s="421"/>
      <c r="J408" s="421"/>
      <c r="K408" s="401"/>
      <c r="L408" s="538"/>
      <c r="M408" s="203"/>
      <c r="N408" s="399"/>
      <c r="O408" s="400"/>
    </row>
    <row r="409" spans="5:15">
      <c r="E409" s="428"/>
      <c r="H409" s="429"/>
      <c r="I409" s="421"/>
      <c r="J409" s="421"/>
      <c r="K409" s="401"/>
      <c r="L409" s="538"/>
      <c r="M409" s="203"/>
      <c r="N409" s="399"/>
      <c r="O409" s="400"/>
    </row>
    <row r="410" spans="5:15">
      <c r="E410" s="428"/>
      <c r="H410" s="429"/>
      <c r="I410" s="421"/>
      <c r="J410" s="421"/>
      <c r="K410" s="401"/>
      <c r="L410" s="538"/>
      <c r="M410" s="203"/>
      <c r="N410" s="399"/>
      <c r="O410" s="400"/>
    </row>
    <row r="411" spans="5:15">
      <c r="E411" s="428"/>
      <c r="H411" s="429"/>
      <c r="I411" s="421"/>
      <c r="J411" s="421"/>
      <c r="K411" s="401"/>
      <c r="L411" s="538"/>
      <c r="M411" s="203"/>
      <c r="N411" s="399"/>
      <c r="O411" s="400"/>
    </row>
    <row r="412" spans="5:15">
      <c r="E412" s="428"/>
      <c r="H412" s="429"/>
      <c r="I412" s="421"/>
      <c r="J412" s="421"/>
      <c r="K412" s="401"/>
      <c r="L412" s="538"/>
      <c r="M412" s="203"/>
      <c r="N412" s="399"/>
      <c r="O412" s="400"/>
    </row>
    <row r="413" spans="5:15">
      <c r="E413" s="428"/>
      <c r="H413" s="429"/>
      <c r="I413" s="421"/>
      <c r="J413" s="421"/>
      <c r="K413" s="401"/>
      <c r="L413" s="538"/>
      <c r="M413" s="203"/>
      <c r="N413" s="399"/>
      <c r="O413" s="400"/>
    </row>
    <row r="414" spans="5:15">
      <c r="E414" s="428"/>
      <c r="H414" s="429"/>
      <c r="I414" s="421"/>
      <c r="J414" s="421"/>
      <c r="K414" s="401"/>
      <c r="L414" s="538"/>
      <c r="M414" s="203"/>
      <c r="N414" s="399"/>
      <c r="O414" s="400"/>
    </row>
    <row r="415" spans="5:15">
      <c r="E415" s="428"/>
      <c r="H415" s="429"/>
      <c r="I415" s="421"/>
      <c r="J415" s="421"/>
      <c r="K415" s="401"/>
      <c r="L415" s="538"/>
      <c r="M415" s="203"/>
      <c r="N415" s="399"/>
      <c r="O415" s="400"/>
    </row>
    <row r="416" spans="5:15">
      <c r="E416" s="428"/>
      <c r="H416" s="429"/>
      <c r="I416" s="421"/>
      <c r="J416" s="421"/>
      <c r="K416" s="401"/>
      <c r="L416" s="538"/>
      <c r="M416" s="203"/>
      <c r="N416" s="399"/>
      <c r="O416" s="400"/>
    </row>
    <row r="417" spans="5:15">
      <c r="E417" s="428"/>
      <c r="H417" s="429"/>
      <c r="I417" s="421"/>
      <c r="J417" s="421"/>
      <c r="K417" s="401"/>
      <c r="L417" s="538"/>
      <c r="M417" s="203"/>
      <c r="N417" s="399"/>
      <c r="O417" s="400"/>
    </row>
    <row r="418" spans="5:15">
      <c r="E418" s="428"/>
      <c r="H418" s="429"/>
      <c r="I418" s="421"/>
      <c r="J418" s="421"/>
      <c r="K418" s="401"/>
      <c r="L418" s="538"/>
      <c r="M418" s="203"/>
      <c r="N418" s="399"/>
      <c r="O418" s="400"/>
    </row>
    <row r="419" spans="5:15">
      <c r="E419" s="428"/>
      <c r="H419" s="429"/>
      <c r="I419" s="421"/>
      <c r="J419" s="421"/>
      <c r="K419" s="401"/>
      <c r="L419" s="538"/>
      <c r="M419" s="203"/>
      <c r="N419" s="399"/>
      <c r="O419" s="400"/>
    </row>
    <row r="420" spans="5:15">
      <c r="E420" s="428"/>
      <c r="H420" s="429"/>
      <c r="I420" s="421"/>
      <c r="J420" s="421"/>
      <c r="K420" s="401"/>
      <c r="L420" s="538"/>
      <c r="M420" s="203"/>
      <c r="N420" s="399"/>
      <c r="O420" s="400"/>
    </row>
    <row r="421" spans="5:15">
      <c r="E421" s="428"/>
      <c r="H421" s="429"/>
      <c r="I421" s="421"/>
      <c r="J421" s="421"/>
      <c r="K421" s="401"/>
      <c r="L421" s="538"/>
      <c r="M421" s="203"/>
      <c r="N421" s="399"/>
      <c r="O421" s="400"/>
    </row>
    <row r="422" spans="5:15">
      <c r="E422" s="428"/>
      <c r="H422" s="429"/>
      <c r="I422" s="421"/>
      <c r="J422" s="421"/>
      <c r="K422" s="401"/>
      <c r="L422" s="538"/>
      <c r="M422" s="203"/>
      <c r="N422" s="399"/>
      <c r="O422" s="400"/>
    </row>
    <row r="423" spans="5:15">
      <c r="E423" s="428"/>
      <c r="H423" s="429"/>
      <c r="I423" s="421"/>
      <c r="J423" s="421"/>
      <c r="K423" s="401"/>
      <c r="L423" s="538"/>
      <c r="M423" s="203"/>
      <c r="N423" s="399"/>
      <c r="O423" s="400"/>
    </row>
    <row r="424" spans="5:15">
      <c r="E424" s="428"/>
      <c r="H424" s="429"/>
      <c r="I424" s="421"/>
      <c r="J424" s="421"/>
      <c r="K424" s="401"/>
      <c r="L424" s="538"/>
      <c r="M424" s="203"/>
      <c r="N424" s="399"/>
      <c r="O424" s="400"/>
    </row>
    <row r="425" spans="5:15">
      <c r="E425" s="428"/>
      <c r="H425" s="429"/>
      <c r="I425" s="421"/>
      <c r="J425" s="421"/>
      <c r="K425" s="401"/>
      <c r="L425" s="538"/>
      <c r="M425" s="203"/>
      <c r="N425" s="399"/>
      <c r="O425" s="400"/>
    </row>
    <row r="426" spans="5:15">
      <c r="E426" s="428"/>
      <c r="H426" s="429"/>
      <c r="I426" s="421"/>
      <c r="J426" s="421"/>
      <c r="K426" s="401"/>
      <c r="L426" s="538"/>
      <c r="M426" s="203"/>
      <c r="N426" s="399"/>
      <c r="O426" s="400"/>
    </row>
    <row r="427" spans="5:15">
      <c r="E427" s="428"/>
      <c r="H427" s="429"/>
      <c r="I427" s="421"/>
      <c r="J427" s="421"/>
      <c r="K427" s="401"/>
      <c r="L427" s="538"/>
      <c r="M427" s="203"/>
      <c r="N427" s="399"/>
      <c r="O427" s="400"/>
    </row>
    <row r="428" spans="5:15">
      <c r="E428" s="428"/>
      <c r="H428" s="429"/>
      <c r="I428" s="421"/>
      <c r="J428" s="421"/>
      <c r="K428" s="401"/>
      <c r="L428" s="538"/>
      <c r="M428" s="203"/>
      <c r="N428" s="399"/>
      <c r="O428" s="400"/>
    </row>
    <row r="429" spans="5:15">
      <c r="E429" s="428"/>
      <c r="H429" s="429"/>
      <c r="I429" s="421"/>
      <c r="J429" s="421"/>
      <c r="K429" s="401"/>
      <c r="L429" s="538"/>
      <c r="M429" s="203"/>
      <c r="N429" s="399"/>
      <c r="O429" s="400"/>
    </row>
    <row r="430" spans="5:15">
      <c r="E430" s="428"/>
      <c r="H430" s="429"/>
      <c r="I430" s="421"/>
      <c r="J430" s="421"/>
      <c r="K430" s="401"/>
      <c r="L430" s="538"/>
      <c r="M430" s="203"/>
      <c r="N430" s="399"/>
      <c r="O430" s="400"/>
    </row>
    <row r="431" spans="5:15">
      <c r="E431" s="428"/>
      <c r="H431" s="429"/>
      <c r="I431" s="421"/>
      <c r="J431" s="421"/>
      <c r="K431" s="401"/>
      <c r="L431" s="538"/>
      <c r="M431" s="203"/>
      <c r="N431" s="399"/>
      <c r="O431" s="400"/>
    </row>
    <row r="432" spans="5:15">
      <c r="E432" s="428"/>
      <c r="H432" s="429"/>
      <c r="I432" s="421"/>
      <c r="J432" s="421"/>
      <c r="K432" s="401"/>
      <c r="L432" s="538"/>
      <c r="M432" s="203"/>
      <c r="N432" s="399"/>
      <c r="O432" s="400"/>
    </row>
    <row r="433" spans="5:15">
      <c r="E433" s="428"/>
      <c r="H433" s="429"/>
      <c r="I433" s="421"/>
      <c r="J433" s="421"/>
      <c r="K433" s="401"/>
      <c r="L433" s="538"/>
      <c r="M433" s="203"/>
      <c r="N433" s="399"/>
      <c r="O433" s="400"/>
    </row>
    <row r="434" spans="5:15">
      <c r="E434" s="428"/>
      <c r="H434" s="429"/>
      <c r="I434" s="421"/>
      <c r="J434" s="421"/>
      <c r="K434" s="401"/>
      <c r="L434" s="538"/>
      <c r="M434" s="203"/>
      <c r="N434" s="399"/>
      <c r="O434" s="400"/>
    </row>
    <row r="435" spans="5:15">
      <c r="E435" s="428"/>
      <c r="H435" s="429"/>
      <c r="I435" s="421"/>
      <c r="J435" s="421"/>
      <c r="K435" s="401"/>
      <c r="L435" s="538"/>
      <c r="M435" s="203"/>
      <c r="N435" s="399"/>
      <c r="O435" s="400"/>
    </row>
    <row r="436" spans="5:15">
      <c r="E436" s="428"/>
      <c r="H436" s="429"/>
      <c r="I436" s="421"/>
      <c r="J436" s="421"/>
      <c r="K436" s="401"/>
      <c r="L436" s="538"/>
      <c r="M436" s="203"/>
      <c r="N436" s="399"/>
      <c r="O436" s="400"/>
    </row>
    <row r="437" spans="5:15">
      <c r="E437" s="428"/>
      <c r="H437" s="429"/>
      <c r="I437" s="421"/>
      <c r="J437" s="421"/>
      <c r="K437" s="401"/>
      <c r="L437" s="538"/>
      <c r="M437" s="203"/>
      <c r="N437" s="399"/>
      <c r="O437" s="400"/>
    </row>
    <row r="438" spans="5:15">
      <c r="E438" s="428"/>
      <c r="H438" s="429"/>
      <c r="I438" s="421"/>
      <c r="J438" s="421"/>
      <c r="K438" s="401"/>
      <c r="L438" s="538"/>
      <c r="M438" s="203"/>
      <c r="N438" s="399"/>
      <c r="O438" s="400"/>
    </row>
    <row r="439" spans="5:15">
      <c r="E439" s="428"/>
      <c r="H439" s="429"/>
      <c r="I439" s="421"/>
      <c r="J439" s="421"/>
      <c r="K439" s="401"/>
      <c r="L439" s="538"/>
      <c r="M439" s="203"/>
      <c r="N439" s="399"/>
      <c r="O439" s="400"/>
    </row>
    <row r="440" spans="5:15">
      <c r="E440" s="428"/>
      <c r="H440" s="429"/>
      <c r="I440" s="421"/>
      <c r="J440" s="421"/>
      <c r="K440" s="401"/>
      <c r="L440" s="538"/>
      <c r="M440" s="203"/>
      <c r="N440" s="399"/>
      <c r="O440" s="400"/>
    </row>
    <row r="441" spans="5:15">
      <c r="E441" s="428"/>
      <c r="H441" s="429"/>
      <c r="I441" s="421"/>
      <c r="J441" s="421"/>
      <c r="K441" s="401"/>
      <c r="L441" s="538"/>
      <c r="M441" s="203"/>
      <c r="N441" s="399"/>
      <c r="O441" s="400"/>
    </row>
    <row r="442" spans="5:15">
      <c r="E442" s="428"/>
      <c r="H442" s="429"/>
      <c r="I442" s="421"/>
      <c r="J442" s="421"/>
      <c r="K442" s="401"/>
      <c r="L442" s="538"/>
      <c r="M442" s="203"/>
      <c r="N442" s="399"/>
      <c r="O442" s="400"/>
    </row>
    <row r="443" spans="5:15">
      <c r="E443" s="428"/>
      <c r="H443" s="429"/>
      <c r="I443" s="421"/>
      <c r="J443" s="421"/>
      <c r="K443" s="401"/>
      <c r="L443" s="538"/>
      <c r="M443" s="203"/>
      <c r="N443" s="399"/>
      <c r="O443" s="400"/>
    </row>
    <row r="444" spans="5:15">
      <c r="E444" s="428"/>
      <c r="H444" s="429"/>
      <c r="I444" s="421"/>
      <c r="J444" s="421"/>
      <c r="K444" s="401"/>
      <c r="L444" s="538"/>
      <c r="M444" s="203"/>
      <c r="N444" s="399"/>
      <c r="O444" s="400"/>
    </row>
    <row r="445" spans="5:15">
      <c r="E445" s="428"/>
      <c r="H445" s="429"/>
      <c r="I445" s="421"/>
      <c r="J445" s="421"/>
      <c r="K445" s="401"/>
      <c r="L445" s="538"/>
      <c r="M445" s="203"/>
      <c r="N445" s="399"/>
      <c r="O445" s="400"/>
    </row>
    <row r="446" spans="5:15">
      <c r="E446" s="428"/>
      <c r="H446" s="429"/>
      <c r="I446" s="421"/>
      <c r="J446" s="421"/>
      <c r="K446" s="401"/>
      <c r="L446" s="538"/>
      <c r="M446" s="203"/>
      <c r="N446" s="399"/>
      <c r="O446" s="400"/>
    </row>
    <row r="447" spans="5:15">
      <c r="E447" s="428"/>
      <c r="H447" s="429"/>
      <c r="I447" s="421"/>
      <c r="J447" s="421"/>
      <c r="K447" s="401"/>
      <c r="L447" s="538"/>
      <c r="M447" s="203"/>
      <c r="N447" s="399"/>
      <c r="O447" s="400"/>
    </row>
    <row r="448" spans="5:15">
      <c r="E448" s="428"/>
      <c r="H448" s="429"/>
      <c r="I448" s="421"/>
      <c r="J448" s="421"/>
      <c r="K448" s="401"/>
      <c r="L448" s="538"/>
      <c r="M448" s="203"/>
      <c r="N448" s="399"/>
      <c r="O448" s="400"/>
    </row>
    <row r="449" spans="5:15">
      <c r="E449" s="428"/>
      <c r="H449" s="429"/>
      <c r="I449" s="421"/>
      <c r="J449" s="421"/>
      <c r="K449" s="401"/>
      <c r="L449" s="538"/>
      <c r="M449" s="203"/>
      <c r="N449" s="399"/>
      <c r="O449" s="400"/>
    </row>
    <row r="450" spans="5:15">
      <c r="E450" s="428"/>
      <c r="H450" s="429"/>
      <c r="I450" s="421"/>
      <c r="J450" s="421"/>
      <c r="K450" s="401"/>
      <c r="L450" s="538"/>
      <c r="M450" s="203"/>
      <c r="N450" s="399"/>
      <c r="O450" s="400"/>
    </row>
    <row r="451" spans="5:15">
      <c r="E451" s="428"/>
      <c r="H451" s="429"/>
      <c r="I451" s="421"/>
      <c r="J451" s="421"/>
      <c r="K451" s="401"/>
      <c r="L451" s="538"/>
      <c r="M451" s="203"/>
      <c r="N451" s="399"/>
      <c r="O451" s="400"/>
    </row>
    <row r="452" spans="5:15">
      <c r="E452" s="428"/>
      <c r="H452" s="429"/>
      <c r="I452" s="421"/>
      <c r="J452" s="421"/>
      <c r="K452" s="401"/>
      <c r="L452" s="538"/>
      <c r="M452" s="203"/>
      <c r="N452" s="399"/>
      <c r="O452" s="400"/>
    </row>
    <row r="453" spans="5:15">
      <c r="E453" s="428"/>
      <c r="H453" s="429"/>
      <c r="I453" s="421"/>
      <c r="J453" s="421"/>
      <c r="K453" s="401"/>
      <c r="L453" s="538"/>
      <c r="M453" s="203"/>
      <c r="N453" s="399"/>
      <c r="O453" s="400"/>
    </row>
    <row r="454" spans="5:15">
      <c r="E454" s="428"/>
      <c r="H454" s="429"/>
      <c r="I454" s="421"/>
      <c r="J454" s="421"/>
      <c r="K454" s="401"/>
      <c r="L454" s="538"/>
      <c r="M454" s="203"/>
      <c r="N454" s="399"/>
      <c r="O454" s="400"/>
    </row>
    <row r="455" spans="5:15">
      <c r="E455" s="428"/>
      <c r="H455" s="429"/>
      <c r="I455" s="421"/>
      <c r="J455" s="421"/>
      <c r="K455" s="401"/>
      <c r="L455" s="538"/>
      <c r="M455" s="203"/>
      <c r="N455" s="399"/>
      <c r="O455" s="400"/>
    </row>
    <row r="456" spans="5:15">
      <c r="E456" s="428"/>
      <c r="H456" s="429"/>
      <c r="I456" s="421"/>
      <c r="J456" s="421"/>
      <c r="K456" s="401"/>
      <c r="L456" s="538"/>
      <c r="M456" s="203"/>
      <c r="N456" s="399"/>
      <c r="O456" s="400"/>
    </row>
    <row r="457" spans="5:15">
      <c r="E457" s="428"/>
      <c r="H457" s="429"/>
      <c r="I457" s="421"/>
      <c r="J457" s="421"/>
      <c r="K457" s="401"/>
      <c r="L457" s="538"/>
      <c r="M457" s="203"/>
      <c r="N457" s="399"/>
      <c r="O457" s="400"/>
    </row>
    <row r="458" spans="5:15">
      <c r="E458" s="428"/>
      <c r="H458" s="429"/>
      <c r="I458" s="421"/>
      <c r="J458" s="421"/>
      <c r="K458" s="401"/>
      <c r="L458" s="538"/>
      <c r="M458" s="203"/>
      <c r="N458" s="399"/>
      <c r="O458" s="400"/>
    </row>
    <row r="459" spans="5:15">
      <c r="E459" s="428"/>
      <c r="H459" s="429"/>
      <c r="I459" s="421"/>
      <c r="J459" s="421"/>
      <c r="K459" s="401"/>
      <c r="L459" s="538"/>
      <c r="M459" s="203"/>
      <c r="N459" s="399"/>
      <c r="O459" s="400"/>
    </row>
    <row r="460" spans="5:15">
      <c r="E460" s="428"/>
      <c r="H460" s="429"/>
      <c r="I460" s="421"/>
      <c r="J460" s="421"/>
      <c r="K460" s="401"/>
      <c r="L460" s="538"/>
      <c r="M460" s="203"/>
      <c r="N460" s="399"/>
      <c r="O460" s="400"/>
    </row>
    <row r="461" spans="5:15">
      <c r="E461" s="428"/>
      <c r="H461" s="429"/>
      <c r="I461" s="421"/>
      <c r="J461" s="421"/>
      <c r="K461" s="401"/>
      <c r="L461" s="538"/>
      <c r="M461" s="203"/>
      <c r="N461" s="399"/>
      <c r="O461" s="400"/>
    </row>
    <row r="462" spans="5:15">
      <c r="E462" s="428"/>
      <c r="H462" s="429"/>
      <c r="I462" s="421"/>
      <c r="J462" s="421"/>
      <c r="K462" s="401"/>
      <c r="L462" s="538"/>
      <c r="M462" s="203"/>
      <c r="N462" s="399"/>
      <c r="O462" s="400"/>
    </row>
    <row r="463" spans="5:15">
      <c r="E463" s="428"/>
      <c r="H463" s="429"/>
      <c r="I463" s="421"/>
      <c r="J463" s="421"/>
      <c r="K463" s="401"/>
      <c r="L463" s="538"/>
      <c r="M463" s="203"/>
      <c r="N463" s="399"/>
      <c r="O463" s="400"/>
    </row>
    <row r="464" spans="5:15">
      <c r="E464" s="428"/>
      <c r="H464" s="429"/>
      <c r="I464" s="421"/>
      <c r="J464" s="421"/>
      <c r="K464" s="401"/>
      <c r="L464" s="538"/>
      <c r="M464" s="203"/>
      <c r="N464" s="399"/>
      <c r="O464" s="400"/>
    </row>
    <row r="465" spans="5:15">
      <c r="E465" s="428"/>
      <c r="H465" s="429"/>
      <c r="I465" s="421"/>
      <c r="J465" s="421"/>
      <c r="K465" s="401"/>
      <c r="L465" s="538"/>
      <c r="M465" s="203"/>
      <c r="N465" s="399"/>
      <c r="O465" s="400"/>
    </row>
    <row r="466" spans="5:15">
      <c r="E466" s="428"/>
      <c r="H466" s="429"/>
      <c r="I466" s="421"/>
      <c r="J466" s="421"/>
      <c r="K466" s="401"/>
      <c r="L466" s="538"/>
      <c r="M466" s="203"/>
      <c r="N466" s="399"/>
      <c r="O466" s="400"/>
    </row>
    <row r="467" spans="5:15">
      <c r="E467" s="428"/>
      <c r="H467" s="429"/>
      <c r="I467" s="421"/>
      <c r="J467" s="421"/>
      <c r="K467" s="401"/>
      <c r="L467" s="538"/>
      <c r="M467" s="203"/>
      <c r="N467" s="399"/>
      <c r="O467" s="400"/>
    </row>
    <row r="468" spans="5:15">
      <c r="E468" s="428"/>
      <c r="H468" s="429"/>
      <c r="I468" s="421"/>
      <c r="J468" s="421"/>
      <c r="K468" s="401"/>
      <c r="L468" s="538"/>
      <c r="M468" s="203"/>
      <c r="N468" s="399"/>
      <c r="O468" s="400"/>
    </row>
    <row r="469" spans="5:15">
      <c r="E469" s="428"/>
      <c r="H469" s="429"/>
      <c r="I469" s="421"/>
      <c r="J469" s="421"/>
      <c r="K469" s="401"/>
      <c r="L469" s="538"/>
      <c r="M469" s="203"/>
      <c r="N469" s="399"/>
      <c r="O469" s="400"/>
    </row>
    <row r="470" spans="5:15">
      <c r="E470" s="428"/>
      <c r="H470" s="429"/>
      <c r="I470" s="421"/>
      <c r="J470" s="421"/>
      <c r="K470" s="401"/>
      <c r="L470" s="538"/>
      <c r="M470" s="203"/>
      <c r="N470" s="399"/>
      <c r="O470" s="400"/>
    </row>
    <row r="471" spans="5:15">
      <c r="E471" s="428"/>
      <c r="H471" s="429"/>
      <c r="I471" s="421"/>
      <c r="J471" s="421"/>
      <c r="K471" s="401"/>
      <c r="L471" s="538"/>
      <c r="M471" s="203"/>
      <c r="N471" s="399"/>
      <c r="O471" s="400"/>
    </row>
    <row r="472" spans="5:15">
      <c r="E472" s="428"/>
      <c r="H472" s="429"/>
      <c r="I472" s="421"/>
      <c r="J472" s="421"/>
      <c r="K472" s="401"/>
      <c r="L472" s="538"/>
      <c r="M472" s="203"/>
      <c r="N472" s="399"/>
      <c r="O472" s="400"/>
    </row>
    <row r="473" spans="5:15">
      <c r="E473" s="428"/>
      <c r="H473" s="429"/>
      <c r="I473" s="421"/>
      <c r="J473" s="421"/>
      <c r="K473" s="401"/>
      <c r="L473" s="538"/>
      <c r="M473" s="203"/>
      <c r="N473" s="399"/>
      <c r="O473" s="400"/>
    </row>
    <row r="474" spans="5:15">
      <c r="E474" s="428"/>
      <c r="H474" s="429"/>
      <c r="I474" s="421"/>
      <c r="J474" s="421"/>
      <c r="K474" s="401"/>
      <c r="L474" s="538"/>
      <c r="M474" s="203"/>
      <c r="N474" s="399"/>
      <c r="O474" s="400"/>
    </row>
    <row r="475" spans="5:15">
      <c r="E475" s="428"/>
      <c r="H475" s="429"/>
      <c r="I475" s="421"/>
      <c r="J475" s="421"/>
      <c r="K475" s="401"/>
      <c r="L475" s="538"/>
      <c r="M475" s="203"/>
      <c r="N475" s="399"/>
      <c r="O475" s="400"/>
    </row>
    <row r="476" spans="5:15">
      <c r="E476" s="428"/>
      <c r="H476" s="429"/>
      <c r="I476" s="421"/>
      <c r="J476" s="421"/>
      <c r="K476" s="401"/>
      <c r="L476" s="538"/>
      <c r="M476" s="203"/>
      <c r="N476" s="399"/>
      <c r="O476" s="400"/>
    </row>
    <row r="477" spans="5:15">
      <c r="E477" s="428"/>
      <c r="H477" s="429"/>
      <c r="I477" s="421"/>
      <c r="J477" s="421"/>
      <c r="K477" s="401"/>
      <c r="L477" s="538"/>
      <c r="M477" s="203"/>
      <c r="N477" s="399"/>
      <c r="O477" s="400"/>
    </row>
    <row r="478" spans="5:15">
      <c r="E478" s="428"/>
      <c r="H478" s="429"/>
      <c r="I478" s="421"/>
      <c r="J478" s="421"/>
      <c r="K478" s="401"/>
      <c r="L478" s="538"/>
      <c r="M478" s="203"/>
      <c r="N478" s="399"/>
      <c r="O478" s="400"/>
    </row>
    <row r="479" spans="5:15">
      <c r="E479" s="428"/>
      <c r="H479" s="429"/>
      <c r="I479" s="421"/>
      <c r="J479" s="421"/>
      <c r="K479" s="401"/>
      <c r="L479" s="538"/>
      <c r="M479" s="203"/>
      <c r="N479" s="399"/>
      <c r="O479" s="400"/>
    </row>
    <row r="480" spans="5:15">
      <c r="E480" s="428"/>
      <c r="H480" s="429"/>
      <c r="I480" s="421"/>
      <c r="J480" s="421"/>
      <c r="K480" s="401"/>
      <c r="L480" s="538"/>
      <c r="M480" s="203"/>
      <c r="N480" s="399"/>
      <c r="O480" s="400"/>
    </row>
    <row r="481" spans="5:15">
      <c r="E481" s="428"/>
      <c r="H481" s="429"/>
      <c r="I481" s="421"/>
      <c r="J481" s="421"/>
      <c r="K481" s="401"/>
      <c r="L481" s="538"/>
      <c r="M481" s="203"/>
      <c r="N481" s="399"/>
      <c r="O481" s="400"/>
    </row>
    <row r="482" spans="5:15">
      <c r="E482" s="428"/>
      <c r="H482" s="429"/>
      <c r="I482" s="421"/>
      <c r="J482" s="421"/>
      <c r="K482" s="401"/>
      <c r="L482" s="538"/>
      <c r="M482" s="203"/>
      <c r="N482" s="399"/>
      <c r="O482" s="400"/>
    </row>
    <row r="483" spans="5:15">
      <c r="E483" s="428"/>
      <c r="H483" s="429"/>
      <c r="I483" s="421"/>
      <c r="J483" s="421"/>
      <c r="K483" s="401"/>
      <c r="L483" s="538"/>
      <c r="M483" s="203"/>
      <c r="N483" s="399"/>
      <c r="O483" s="400"/>
    </row>
    <row r="484" spans="5:15">
      <c r="E484" s="428"/>
      <c r="H484" s="429"/>
      <c r="I484" s="421"/>
      <c r="J484" s="421"/>
      <c r="K484" s="401"/>
      <c r="L484" s="538"/>
      <c r="M484" s="203"/>
      <c r="N484" s="399"/>
      <c r="O484" s="400"/>
    </row>
    <row r="485" spans="5:15">
      <c r="E485" s="428"/>
      <c r="H485" s="429"/>
      <c r="I485" s="421"/>
      <c r="J485" s="421"/>
      <c r="K485" s="401"/>
      <c r="L485" s="538"/>
      <c r="M485" s="203"/>
      <c r="N485" s="399"/>
      <c r="O485" s="400"/>
    </row>
    <row r="486" spans="5:15">
      <c r="E486" s="428"/>
      <c r="H486" s="429"/>
      <c r="I486" s="421"/>
      <c r="J486" s="421"/>
      <c r="K486" s="401"/>
      <c r="L486" s="538"/>
      <c r="M486" s="203"/>
      <c r="N486" s="399"/>
      <c r="O486" s="400"/>
    </row>
    <row r="487" spans="5:15">
      <c r="E487" s="428"/>
      <c r="H487" s="429"/>
      <c r="I487" s="421"/>
      <c r="J487" s="421"/>
      <c r="K487" s="401"/>
      <c r="L487" s="538"/>
      <c r="M487" s="203"/>
      <c r="N487" s="399"/>
      <c r="O487" s="400"/>
    </row>
    <row r="488" spans="5:15">
      <c r="E488" s="428"/>
      <c r="H488" s="429"/>
      <c r="I488" s="421"/>
      <c r="J488" s="421"/>
      <c r="K488" s="401"/>
      <c r="L488" s="538"/>
      <c r="M488" s="203"/>
      <c r="N488" s="399"/>
      <c r="O488" s="400"/>
    </row>
    <row r="489" spans="5:15">
      <c r="E489" s="428"/>
      <c r="H489" s="429"/>
      <c r="I489" s="421"/>
      <c r="J489" s="421"/>
      <c r="K489" s="401"/>
      <c r="L489" s="538"/>
      <c r="M489" s="203"/>
      <c r="N489" s="399"/>
      <c r="O489" s="400"/>
    </row>
    <row r="490" spans="5:15">
      <c r="E490" s="428"/>
      <c r="H490" s="429"/>
      <c r="I490" s="421"/>
      <c r="J490" s="421"/>
      <c r="K490" s="401"/>
      <c r="L490" s="538"/>
      <c r="M490" s="203"/>
      <c r="N490" s="399"/>
      <c r="O490" s="400"/>
    </row>
    <row r="491" spans="5:15">
      <c r="E491" s="428"/>
      <c r="H491" s="429"/>
      <c r="I491" s="421"/>
      <c r="J491" s="421"/>
      <c r="K491" s="401"/>
      <c r="L491" s="538"/>
      <c r="M491" s="203"/>
      <c r="N491" s="399"/>
      <c r="O491" s="400"/>
    </row>
    <row r="492" spans="5:15">
      <c r="E492" s="428"/>
      <c r="H492" s="429"/>
      <c r="I492" s="421"/>
      <c r="J492" s="421"/>
      <c r="K492" s="401"/>
      <c r="L492" s="538"/>
      <c r="M492" s="203"/>
      <c r="N492" s="399"/>
      <c r="O492" s="400"/>
    </row>
    <row r="493" spans="5:15">
      <c r="E493" s="428"/>
      <c r="H493" s="429"/>
      <c r="I493" s="421"/>
      <c r="J493" s="421"/>
      <c r="K493" s="401"/>
      <c r="L493" s="538"/>
      <c r="M493" s="203"/>
      <c r="N493" s="399"/>
      <c r="O493" s="400"/>
    </row>
    <row r="494" spans="5:15">
      <c r="E494" s="428"/>
      <c r="H494" s="429"/>
      <c r="I494" s="421"/>
      <c r="J494" s="421"/>
      <c r="K494" s="401"/>
      <c r="L494" s="538"/>
      <c r="M494" s="203"/>
      <c r="N494" s="399"/>
      <c r="O494" s="400"/>
    </row>
    <row r="495" spans="5:15">
      <c r="E495" s="428"/>
      <c r="H495" s="429"/>
      <c r="I495" s="421"/>
      <c r="J495" s="421"/>
      <c r="K495" s="401"/>
      <c r="L495" s="538"/>
      <c r="M495" s="203"/>
      <c r="N495" s="399"/>
      <c r="O495" s="400"/>
    </row>
    <row r="496" spans="5:15">
      <c r="E496" s="428"/>
      <c r="H496" s="429"/>
      <c r="I496" s="421"/>
      <c r="J496" s="421"/>
      <c r="K496" s="401"/>
      <c r="L496" s="538"/>
      <c r="M496" s="203"/>
      <c r="N496" s="399"/>
      <c r="O496" s="400"/>
    </row>
    <row r="497" spans="5:15">
      <c r="E497" s="428"/>
      <c r="H497" s="429"/>
      <c r="I497" s="421"/>
      <c r="J497" s="421"/>
      <c r="K497" s="401"/>
      <c r="L497" s="538"/>
      <c r="M497" s="203"/>
      <c r="N497" s="399"/>
      <c r="O497" s="400"/>
    </row>
    <row r="498" spans="5:15">
      <c r="E498" s="428"/>
      <c r="H498" s="429"/>
      <c r="I498" s="421"/>
      <c r="J498" s="421"/>
      <c r="K498" s="401"/>
      <c r="L498" s="538"/>
      <c r="M498" s="203"/>
      <c r="N498" s="399"/>
      <c r="O498" s="400"/>
    </row>
    <row r="499" spans="5:15">
      <c r="E499" s="428"/>
      <c r="H499" s="429"/>
      <c r="I499" s="421"/>
      <c r="J499" s="421"/>
      <c r="K499" s="401"/>
      <c r="L499" s="538"/>
      <c r="M499" s="203"/>
      <c r="N499" s="399"/>
      <c r="O499" s="400"/>
    </row>
    <row r="500" spans="5:15">
      <c r="E500" s="428"/>
      <c r="H500" s="429"/>
      <c r="I500" s="421"/>
      <c r="J500" s="421"/>
      <c r="K500" s="401"/>
      <c r="L500" s="538"/>
      <c r="M500" s="203"/>
      <c r="N500" s="399"/>
      <c r="O500" s="400"/>
    </row>
    <row r="501" spans="5:15">
      <c r="E501" s="428"/>
      <c r="H501" s="429"/>
      <c r="I501" s="421"/>
      <c r="J501" s="421"/>
      <c r="K501" s="401"/>
      <c r="L501" s="538"/>
      <c r="M501" s="203"/>
      <c r="N501" s="399"/>
      <c r="O501" s="400"/>
    </row>
    <row r="502" spans="5:15">
      <c r="E502" s="428"/>
      <c r="H502" s="429"/>
      <c r="I502" s="421"/>
      <c r="J502" s="421"/>
      <c r="K502" s="401"/>
      <c r="L502" s="538"/>
      <c r="M502" s="203"/>
      <c r="N502" s="399"/>
      <c r="O502" s="400"/>
    </row>
    <row r="503" spans="5:15">
      <c r="E503" s="428"/>
      <c r="H503" s="429"/>
      <c r="I503" s="421"/>
      <c r="J503" s="421"/>
      <c r="K503" s="401"/>
      <c r="L503" s="538"/>
      <c r="M503" s="203"/>
      <c r="N503" s="399"/>
      <c r="O503" s="400"/>
    </row>
    <row r="504" spans="5:15">
      <c r="E504" s="428"/>
      <c r="H504" s="429"/>
      <c r="I504" s="421"/>
      <c r="J504" s="421"/>
      <c r="K504" s="401"/>
      <c r="L504" s="538"/>
      <c r="M504" s="203"/>
      <c r="N504" s="399"/>
      <c r="O504" s="400"/>
    </row>
    <row r="505" spans="5:15">
      <c r="E505" s="428"/>
      <c r="H505" s="429"/>
      <c r="I505" s="421"/>
      <c r="J505" s="421"/>
      <c r="K505" s="401"/>
      <c r="L505" s="538"/>
      <c r="M505" s="203"/>
      <c r="N505" s="399"/>
      <c r="O505" s="400"/>
    </row>
    <row r="506" spans="5:15">
      <c r="E506" s="428"/>
      <c r="H506" s="429"/>
      <c r="I506" s="421"/>
      <c r="J506" s="421"/>
      <c r="K506" s="401"/>
      <c r="L506" s="538"/>
      <c r="M506" s="203"/>
      <c r="N506" s="399"/>
      <c r="O506" s="400"/>
    </row>
    <row r="507" spans="5:15">
      <c r="E507" s="428"/>
      <c r="H507" s="429"/>
      <c r="I507" s="421"/>
      <c r="J507" s="421"/>
      <c r="K507" s="401"/>
      <c r="L507" s="538"/>
      <c r="M507" s="203"/>
      <c r="N507" s="399"/>
      <c r="O507" s="400"/>
    </row>
    <row r="508" spans="5:15">
      <c r="E508" s="428"/>
      <c r="H508" s="429"/>
      <c r="I508" s="421"/>
      <c r="J508" s="421"/>
      <c r="K508" s="401"/>
      <c r="L508" s="538"/>
      <c r="M508" s="203"/>
      <c r="N508" s="399"/>
      <c r="O508" s="400"/>
    </row>
    <row r="509" spans="5:15">
      <c r="E509" s="428"/>
      <c r="H509" s="429"/>
      <c r="I509" s="421"/>
      <c r="J509" s="421"/>
      <c r="K509" s="401"/>
      <c r="L509" s="538"/>
      <c r="M509" s="203"/>
      <c r="N509" s="399"/>
      <c r="O509" s="400"/>
    </row>
    <row r="510" spans="5:15">
      <c r="E510" s="428"/>
      <c r="H510" s="429"/>
      <c r="I510" s="421"/>
      <c r="J510" s="421"/>
      <c r="K510" s="401"/>
      <c r="L510" s="538"/>
      <c r="M510" s="203"/>
      <c r="N510" s="399"/>
      <c r="O510" s="400"/>
    </row>
    <row r="511" spans="5:15">
      <c r="E511" s="428"/>
      <c r="H511" s="429"/>
      <c r="I511" s="421"/>
      <c r="J511" s="421"/>
      <c r="K511" s="401"/>
      <c r="L511" s="538"/>
      <c r="M511" s="203"/>
      <c r="N511" s="399"/>
      <c r="O511" s="400"/>
    </row>
    <row r="512" spans="5:15">
      <c r="E512" s="428"/>
      <c r="H512" s="429"/>
      <c r="I512" s="421"/>
      <c r="J512" s="421"/>
      <c r="K512" s="401"/>
      <c r="L512" s="538"/>
      <c r="M512" s="203"/>
      <c r="N512" s="399"/>
      <c r="O512" s="400"/>
    </row>
    <row r="513" spans="5:15">
      <c r="E513" s="428"/>
      <c r="H513" s="429"/>
      <c r="I513" s="421"/>
      <c r="J513" s="421"/>
      <c r="K513" s="401"/>
      <c r="L513" s="538"/>
      <c r="M513" s="203"/>
      <c r="N513" s="399"/>
      <c r="O513" s="400"/>
    </row>
    <row r="514" spans="5:15">
      <c r="E514" s="428"/>
      <c r="H514" s="429"/>
      <c r="I514" s="421"/>
      <c r="J514" s="421"/>
      <c r="K514" s="401"/>
      <c r="L514" s="538"/>
      <c r="M514" s="203"/>
      <c r="N514" s="399"/>
      <c r="O514" s="400"/>
    </row>
    <row r="515" spans="5:15">
      <c r="E515" s="428"/>
      <c r="H515" s="429"/>
      <c r="I515" s="421"/>
      <c r="J515" s="421"/>
      <c r="K515" s="401"/>
      <c r="L515" s="538"/>
      <c r="M515" s="203"/>
      <c r="N515" s="399"/>
      <c r="O515" s="400"/>
    </row>
    <row r="516" spans="5:15">
      <c r="E516" s="428"/>
      <c r="H516" s="429"/>
      <c r="I516" s="421"/>
      <c r="J516" s="421"/>
      <c r="K516" s="401"/>
      <c r="L516" s="538"/>
      <c r="M516" s="203"/>
      <c r="N516" s="399"/>
      <c r="O516" s="400"/>
    </row>
    <row r="517" spans="5:15">
      <c r="E517" s="428"/>
      <c r="H517" s="429"/>
      <c r="I517" s="421"/>
      <c r="J517" s="421"/>
      <c r="K517" s="401"/>
      <c r="L517" s="538"/>
      <c r="M517" s="203"/>
      <c r="N517" s="399"/>
      <c r="O517" s="400"/>
    </row>
    <row r="518" spans="5:15">
      <c r="E518" s="428"/>
      <c r="H518" s="429"/>
      <c r="I518" s="421"/>
      <c r="J518" s="421"/>
      <c r="K518" s="401"/>
      <c r="L518" s="538"/>
      <c r="M518" s="203"/>
      <c r="N518" s="399"/>
      <c r="O518" s="400"/>
    </row>
    <row r="519" spans="5:15">
      <c r="E519" s="428"/>
      <c r="H519" s="429"/>
      <c r="I519" s="421"/>
      <c r="J519" s="421"/>
      <c r="K519" s="401"/>
      <c r="L519" s="538"/>
      <c r="M519" s="203"/>
      <c r="N519" s="399"/>
      <c r="O519" s="400"/>
    </row>
    <row r="520" spans="5:15">
      <c r="E520" s="428"/>
      <c r="H520" s="429"/>
      <c r="I520" s="421"/>
      <c r="J520" s="421"/>
      <c r="K520" s="401"/>
      <c r="L520" s="538"/>
      <c r="M520" s="203"/>
      <c r="N520" s="399"/>
      <c r="O520" s="400"/>
    </row>
    <row r="521" spans="5:15">
      <c r="E521" s="428"/>
      <c r="H521" s="429"/>
      <c r="I521" s="421"/>
      <c r="J521" s="421"/>
      <c r="K521" s="401"/>
      <c r="L521" s="538"/>
      <c r="M521" s="203"/>
      <c r="N521" s="399"/>
      <c r="O521" s="400"/>
    </row>
    <row r="522" spans="5:15">
      <c r="E522" s="428"/>
      <c r="H522" s="429"/>
      <c r="I522" s="421"/>
      <c r="J522" s="421"/>
      <c r="K522" s="401"/>
      <c r="L522" s="538"/>
      <c r="M522" s="203"/>
      <c r="N522" s="399"/>
      <c r="O522" s="400"/>
    </row>
    <row r="523" spans="5:15">
      <c r="E523" s="428"/>
      <c r="H523" s="429"/>
      <c r="I523" s="421"/>
      <c r="J523" s="421"/>
      <c r="K523" s="401"/>
      <c r="L523" s="538"/>
      <c r="M523" s="203"/>
      <c r="N523" s="399"/>
      <c r="O523" s="400"/>
    </row>
    <row r="524" spans="5:15">
      <c r="E524" s="428"/>
      <c r="H524" s="429"/>
      <c r="I524" s="421"/>
      <c r="J524" s="421"/>
      <c r="K524" s="401"/>
      <c r="L524" s="538"/>
      <c r="M524" s="203"/>
      <c r="N524" s="399"/>
      <c r="O524" s="400"/>
    </row>
    <row r="525" spans="5:15">
      <c r="E525" s="428"/>
      <c r="H525" s="429"/>
      <c r="I525" s="421"/>
      <c r="J525" s="421"/>
      <c r="K525" s="401"/>
      <c r="L525" s="538"/>
      <c r="M525" s="203"/>
      <c r="N525" s="399"/>
      <c r="O525" s="400"/>
    </row>
    <row r="526" spans="5:15">
      <c r="E526" s="428"/>
      <c r="H526" s="429"/>
      <c r="I526" s="421"/>
      <c r="J526" s="421"/>
      <c r="K526" s="401"/>
      <c r="L526" s="538"/>
      <c r="M526" s="203"/>
      <c r="N526" s="399"/>
      <c r="O526" s="400"/>
    </row>
    <row r="527" spans="5:15">
      <c r="E527" s="428"/>
      <c r="H527" s="429"/>
      <c r="I527" s="421"/>
      <c r="J527" s="421"/>
      <c r="K527" s="401"/>
      <c r="L527" s="538"/>
      <c r="M527" s="203"/>
      <c r="N527" s="399"/>
      <c r="O527" s="400"/>
    </row>
    <row r="528" spans="5:15">
      <c r="E528" s="428"/>
      <c r="H528" s="429"/>
      <c r="I528" s="421"/>
      <c r="J528" s="421"/>
      <c r="K528" s="401"/>
      <c r="L528" s="538"/>
      <c r="M528" s="203"/>
      <c r="N528" s="399"/>
      <c r="O528" s="400"/>
    </row>
    <row r="529" spans="5:15">
      <c r="E529" s="428"/>
      <c r="H529" s="429"/>
      <c r="I529" s="421"/>
      <c r="J529" s="421"/>
      <c r="K529" s="401"/>
      <c r="L529" s="538"/>
      <c r="M529" s="203"/>
      <c r="N529" s="399"/>
      <c r="O529" s="400"/>
    </row>
    <row r="530" spans="5:15">
      <c r="E530" s="428"/>
      <c r="H530" s="429"/>
      <c r="I530" s="421"/>
      <c r="J530" s="421"/>
      <c r="K530" s="401"/>
      <c r="L530" s="538"/>
      <c r="M530" s="203"/>
      <c r="N530" s="399"/>
      <c r="O530" s="400"/>
    </row>
    <row r="531" spans="5:15">
      <c r="E531" s="428"/>
      <c r="H531" s="429"/>
      <c r="I531" s="421"/>
      <c r="J531" s="421"/>
      <c r="K531" s="401"/>
      <c r="L531" s="538"/>
      <c r="M531" s="203"/>
      <c r="N531" s="399"/>
      <c r="O531" s="400"/>
    </row>
    <row r="532" spans="5:15">
      <c r="E532" s="428"/>
      <c r="H532" s="429"/>
      <c r="I532" s="421"/>
      <c r="J532" s="421"/>
      <c r="K532" s="401"/>
      <c r="L532" s="538"/>
      <c r="M532" s="203"/>
      <c r="N532" s="399"/>
      <c r="O532" s="400"/>
    </row>
    <row r="533" spans="5:15">
      <c r="E533" s="428"/>
      <c r="H533" s="429"/>
      <c r="I533" s="421"/>
      <c r="J533" s="421"/>
      <c r="K533" s="401"/>
      <c r="L533" s="538"/>
      <c r="M533" s="203"/>
      <c r="N533" s="399"/>
      <c r="O533" s="400"/>
    </row>
    <row r="534" spans="5:15">
      <c r="E534" s="428"/>
      <c r="H534" s="429"/>
      <c r="I534" s="421"/>
      <c r="J534" s="421"/>
      <c r="K534" s="401"/>
      <c r="L534" s="538"/>
      <c r="M534" s="203"/>
      <c r="N534" s="399"/>
      <c r="O534" s="400"/>
    </row>
    <row r="535" spans="5:15">
      <c r="E535" s="428"/>
      <c r="H535" s="429"/>
      <c r="I535" s="421"/>
      <c r="J535" s="421"/>
      <c r="K535" s="401"/>
      <c r="L535" s="538"/>
      <c r="M535" s="203"/>
      <c r="N535" s="399"/>
      <c r="O535" s="400"/>
    </row>
    <row r="536" spans="5:15">
      <c r="E536" s="428"/>
      <c r="H536" s="429"/>
      <c r="I536" s="421"/>
      <c r="J536" s="421"/>
      <c r="K536" s="401"/>
      <c r="L536" s="538"/>
      <c r="M536" s="203"/>
      <c r="N536" s="399"/>
      <c r="O536" s="400"/>
    </row>
    <row r="537" spans="5:15">
      <c r="E537" s="428"/>
      <c r="H537" s="429"/>
      <c r="I537" s="421"/>
      <c r="J537" s="421"/>
      <c r="K537" s="401"/>
      <c r="L537" s="538"/>
      <c r="M537" s="203"/>
      <c r="N537" s="399"/>
      <c r="O537" s="400"/>
    </row>
    <row r="538" spans="5:15">
      <c r="E538" s="428"/>
      <c r="H538" s="429"/>
      <c r="I538" s="421"/>
      <c r="J538" s="421"/>
      <c r="K538" s="401"/>
      <c r="L538" s="538"/>
      <c r="M538" s="203"/>
      <c r="N538" s="399"/>
      <c r="O538" s="400"/>
    </row>
    <row r="539" spans="5:15">
      <c r="E539" s="428"/>
      <c r="H539" s="429"/>
      <c r="I539" s="421"/>
      <c r="J539" s="421"/>
      <c r="K539" s="401"/>
      <c r="L539" s="538"/>
      <c r="M539" s="203"/>
      <c r="N539" s="399"/>
      <c r="O539" s="400"/>
    </row>
    <row r="540" spans="5:15">
      <c r="E540" s="428"/>
      <c r="H540" s="429"/>
      <c r="I540" s="421"/>
      <c r="J540" s="421"/>
      <c r="K540" s="401"/>
      <c r="L540" s="538"/>
      <c r="M540" s="203"/>
      <c r="N540" s="399"/>
      <c r="O540" s="400"/>
    </row>
    <row r="541" spans="5:15">
      <c r="E541" s="428"/>
      <c r="H541" s="429"/>
      <c r="I541" s="421"/>
      <c r="J541" s="421"/>
      <c r="K541" s="401"/>
      <c r="L541" s="538"/>
      <c r="M541" s="203"/>
      <c r="N541" s="399"/>
      <c r="O541" s="400"/>
    </row>
    <row r="542" spans="5:15">
      <c r="E542" s="428"/>
      <c r="H542" s="429"/>
      <c r="I542" s="421"/>
      <c r="J542" s="421"/>
      <c r="K542" s="401"/>
      <c r="L542" s="538"/>
      <c r="M542" s="203"/>
      <c r="N542" s="399"/>
      <c r="O542" s="400"/>
    </row>
    <row r="543" spans="5:15">
      <c r="E543" s="428"/>
      <c r="H543" s="429"/>
      <c r="I543" s="421"/>
      <c r="J543" s="421"/>
      <c r="K543" s="401"/>
      <c r="L543" s="538"/>
      <c r="M543" s="203"/>
      <c r="N543" s="399"/>
      <c r="O543" s="400"/>
    </row>
    <row r="544" spans="5:15">
      <c r="E544" s="428"/>
      <c r="H544" s="429"/>
      <c r="I544" s="421"/>
      <c r="J544" s="421"/>
      <c r="K544" s="401"/>
      <c r="L544" s="538"/>
      <c r="M544" s="203"/>
      <c r="N544" s="399"/>
      <c r="O544" s="400"/>
    </row>
    <row r="545" spans="5:15">
      <c r="E545" s="428"/>
      <c r="H545" s="429"/>
      <c r="I545" s="421"/>
      <c r="J545" s="421"/>
      <c r="K545" s="401"/>
      <c r="L545" s="538"/>
      <c r="M545" s="203"/>
      <c r="N545" s="399"/>
      <c r="O545" s="400"/>
    </row>
    <row r="546" spans="5:15">
      <c r="E546" s="428"/>
      <c r="H546" s="429"/>
      <c r="I546" s="421"/>
      <c r="J546" s="421"/>
      <c r="K546" s="401"/>
      <c r="L546" s="538"/>
      <c r="M546" s="203"/>
      <c r="N546" s="399"/>
      <c r="O546" s="400"/>
    </row>
    <row r="547" spans="5:15">
      <c r="E547" s="428"/>
      <c r="H547" s="429"/>
      <c r="I547" s="421"/>
      <c r="J547" s="421"/>
      <c r="K547" s="401"/>
      <c r="L547" s="538"/>
      <c r="M547" s="203"/>
      <c r="N547" s="399"/>
      <c r="O547" s="400"/>
    </row>
    <row r="548" spans="5:15">
      <c r="E548" s="428"/>
      <c r="H548" s="429"/>
      <c r="I548" s="421"/>
      <c r="J548" s="421"/>
      <c r="K548" s="401"/>
      <c r="L548" s="538"/>
      <c r="M548" s="203"/>
      <c r="N548" s="399"/>
      <c r="O548" s="400"/>
    </row>
    <row r="549" spans="5:15">
      <c r="E549" s="428"/>
      <c r="H549" s="429"/>
      <c r="I549" s="421"/>
      <c r="J549" s="421"/>
      <c r="K549" s="401"/>
      <c r="L549" s="538"/>
      <c r="M549" s="203"/>
      <c r="N549" s="399"/>
      <c r="O549" s="400"/>
    </row>
    <row r="550" spans="5:15">
      <c r="E550" s="428"/>
      <c r="H550" s="429"/>
      <c r="I550" s="421"/>
      <c r="J550" s="421"/>
      <c r="K550" s="401"/>
      <c r="L550" s="538"/>
      <c r="M550" s="203"/>
      <c r="N550" s="399"/>
      <c r="O550" s="400"/>
    </row>
    <row r="551" spans="5:15">
      <c r="E551" s="428"/>
      <c r="H551" s="429"/>
      <c r="I551" s="421"/>
      <c r="J551" s="421"/>
      <c r="K551" s="401"/>
      <c r="L551" s="538"/>
      <c r="M551" s="203"/>
      <c r="N551" s="399"/>
      <c r="O551" s="400"/>
    </row>
    <row r="552" spans="5:15">
      <c r="E552" s="428"/>
      <c r="H552" s="429"/>
      <c r="I552" s="421"/>
      <c r="J552" s="421"/>
      <c r="K552" s="401"/>
      <c r="L552" s="538"/>
      <c r="M552" s="203"/>
      <c r="N552" s="399"/>
      <c r="O552" s="400"/>
    </row>
    <row r="553" spans="5:15">
      <c r="E553" s="428"/>
      <c r="H553" s="429"/>
      <c r="I553" s="421"/>
      <c r="J553" s="421"/>
      <c r="K553" s="401"/>
      <c r="L553" s="538"/>
      <c r="M553" s="203"/>
      <c r="N553" s="399"/>
      <c r="O553" s="400"/>
    </row>
    <row r="554" spans="5:15">
      <c r="E554" s="428"/>
      <c r="H554" s="429"/>
      <c r="I554" s="421"/>
      <c r="J554" s="421"/>
      <c r="K554" s="401"/>
      <c r="L554" s="538"/>
      <c r="M554" s="203"/>
      <c r="N554" s="399"/>
      <c r="O554" s="400"/>
    </row>
    <row r="555" spans="5:15">
      <c r="E555" s="428"/>
      <c r="H555" s="429"/>
      <c r="I555" s="421"/>
      <c r="J555" s="421"/>
      <c r="K555" s="401"/>
      <c r="L555" s="538"/>
      <c r="M555" s="203"/>
      <c r="N555" s="399"/>
      <c r="O555" s="400"/>
    </row>
    <row r="556" spans="5:15">
      <c r="E556" s="428"/>
      <c r="H556" s="429"/>
      <c r="I556" s="421"/>
      <c r="J556" s="421"/>
      <c r="K556" s="401"/>
      <c r="L556" s="538"/>
      <c r="M556" s="203"/>
      <c r="N556" s="399"/>
      <c r="O556" s="400"/>
    </row>
    <row r="557" spans="5:15">
      <c r="E557" s="428"/>
      <c r="H557" s="429"/>
      <c r="I557" s="421"/>
      <c r="J557" s="421"/>
      <c r="K557" s="401"/>
      <c r="L557" s="538"/>
      <c r="M557" s="203"/>
      <c r="N557" s="399"/>
      <c r="O557" s="400"/>
    </row>
    <row r="558" spans="5:15">
      <c r="E558" s="428"/>
      <c r="H558" s="429"/>
      <c r="I558" s="421"/>
      <c r="J558" s="421"/>
      <c r="K558" s="401"/>
      <c r="L558" s="538"/>
      <c r="M558" s="203"/>
      <c r="N558" s="399"/>
      <c r="O558" s="400"/>
    </row>
    <row r="559" spans="5:15">
      <c r="E559" s="428"/>
      <c r="H559" s="429"/>
      <c r="I559" s="421"/>
      <c r="J559" s="421"/>
      <c r="K559" s="401"/>
      <c r="L559" s="538"/>
      <c r="M559" s="203"/>
      <c r="N559" s="399"/>
      <c r="O559" s="400"/>
    </row>
    <row r="560" spans="5:15">
      <c r="E560" s="428"/>
      <c r="H560" s="429"/>
      <c r="I560" s="421"/>
      <c r="J560" s="421"/>
      <c r="K560" s="401"/>
      <c r="L560" s="538"/>
      <c r="M560" s="203"/>
      <c r="N560" s="399"/>
      <c r="O560" s="400"/>
    </row>
    <row r="561" spans="5:15">
      <c r="E561" s="428"/>
      <c r="H561" s="429"/>
      <c r="I561" s="421"/>
      <c r="J561" s="421"/>
      <c r="K561" s="401"/>
      <c r="L561" s="538"/>
      <c r="M561" s="203"/>
      <c r="N561" s="399"/>
      <c r="O561" s="400"/>
    </row>
    <row r="562" spans="5:15">
      <c r="E562" s="428"/>
      <c r="H562" s="429"/>
      <c r="I562" s="421"/>
      <c r="J562" s="421"/>
      <c r="K562" s="401"/>
      <c r="L562" s="538"/>
      <c r="M562" s="203"/>
      <c r="N562" s="399"/>
      <c r="O562" s="400"/>
    </row>
    <row r="563" spans="5:15">
      <c r="E563" s="428"/>
      <c r="H563" s="429"/>
      <c r="I563" s="421"/>
      <c r="J563" s="421"/>
      <c r="K563" s="401"/>
      <c r="L563" s="538"/>
      <c r="M563" s="203"/>
      <c r="N563" s="399"/>
      <c r="O563" s="400"/>
    </row>
    <row r="564" spans="5:15">
      <c r="E564" s="428"/>
      <c r="H564" s="429"/>
      <c r="I564" s="421"/>
      <c r="J564" s="421"/>
      <c r="K564" s="401"/>
      <c r="L564" s="538"/>
      <c r="M564" s="203"/>
      <c r="N564" s="399"/>
      <c r="O564" s="400"/>
    </row>
    <row r="565" spans="5:15">
      <c r="E565" s="428"/>
      <c r="H565" s="429"/>
      <c r="I565" s="421"/>
      <c r="J565" s="421"/>
      <c r="K565" s="401"/>
      <c r="L565" s="538"/>
      <c r="M565" s="203"/>
      <c r="N565" s="399"/>
      <c r="O565" s="400"/>
    </row>
    <row r="566" spans="5:15">
      <c r="E566" s="428"/>
      <c r="H566" s="429"/>
      <c r="I566" s="421"/>
      <c r="J566" s="421"/>
      <c r="K566" s="401"/>
      <c r="L566" s="538"/>
      <c r="M566" s="203"/>
      <c r="N566" s="399"/>
      <c r="O566" s="400"/>
    </row>
    <row r="567" spans="5:15">
      <c r="E567" s="428"/>
      <c r="H567" s="429"/>
      <c r="I567" s="421"/>
      <c r="J567" s="421"/>
      <c r="K567" s="401"/>
      <c r="L567" s="538"/>
      <c r="M567" s="203"/>
      <c r="N567" s="399"/>
      <c r="O567" s="400"/>
    </row>
    <row r="568" spans="5:15">
      <c r="E568" s="428"/>
      <c r="H568" s="429"/>
      <c r="I568" s="421"/>
      <c r="J568" s="421"/>
      <c r="K568" s="401"/>
      <c r="L568" s="538"/>
      <c r="M568" s="203"/>
      <c r="N568" s="399"/>
      <c r="O568" s="400"/>
    </row>
    <row r="569" spans="5:15">
      <c r="E569" s="428"/>
      <c r="H569" s="429"/>
      <c r="I569" s="421"/>
      <c r="J569" s="421"/>
      <c r="K569" s="401"/>
      <c r="L569" s="538"/>
      <c r="M569" s="203"/>
      <c r="N569" s="399"/>
      <c r="O569" s="400"/>
    </row>
    <row r="570" spans="5:15">
      <c r="E570" s="428"/>
      <c r="H570" s="429"/>
      <c r="I570" s="421"/>
      <c r="J570" s="421"/>
      <c r="K570" s="401"/>
      <c r="L570" s="538"/>
      <c r="M570" s="203"/>
      <c r="N570" s="399"/>
      <c r="O570" s="400"/>
    </row>
    <row r="571" spans="5:15">
      <c r="E571" s="428"/>
      <c r="H571" s="429"/>
      <c r="I571" s="421"/>
      <c r="J571" s="421"/>
      <c r="K571" s="401"/>
      <c r="L571" s="538"/>
      <c r="M571" s="203"/>
      <c r="N571" s="399"/>
      <c r="O571" s="400"/>
    </row>
    <row r="572" spans="5:15">
      <c r="E572" s="428"/>
      <c r="H572" s="429"/>
      <c r="I572" s="421"/>
      <c r="J572" s="421"/>
      <c r="K572" s="401"/>
      <c r="L572" s="538"/>
      <c r="M572" s="203"/>
      <c r="N572" s="399"/>
      <c r="O572" s="400"/>
    </row>
    <row r="573" spans="5:15">
      <c r="E573" s="428"/>
      <c r="H573" s="429"/>
      <c r="I573" s="421"/>
      <c r="J573" s="421"/>
      <c r="K573" s="401"/>
      <c r="L573" s="538"/>
      <c r="M573" s="203"/>
      <c r="N573" s="399"/>
      <c r="O573" s="400"/>
    </row>
    <row r="574" spans="5:15">
      <c r="E574" s="428"/>
      <c r="H574" s="429"/>
      <c r="I574" s="421"/>
      <c r="J574" s="421"/>
      <c r="K574" s="401"/>
      <c r="L574" s="538"/>
      <c r="M574" s="203"/>
      <c r="N574" s="399"/>
      <c r="O574" s="400"/>
    </row>
    <row r="575" spans="5:15">
      <c r="E575" s="428"/>
      <c r="H575" s="429"/>
      <c r="I575" s="421"/>
      <c r="J575" s="421"/>
      <c r="K575" s="401"/>
      <c r="L575" s="538"/>
      <c r="M575" s="203"/>
      <c r="N575" s="399"/>
      <c r="O575" s="400"/>
    </row>
    <row r="576" spans="5:15">
      <c r="E576" s="428"/>
      <c r="H576" s="429"/>
      <c r="I576" s="421"/>
      <c r="J576" s="421"/>
      <c r="K576" s="401"/>
      <c r="L576" s="538"/>
      <c r="M576" s="203"/>
      <c r="N576" s="399"/>
      <c r="O576" s="400"/>
    </row>
    <row r="577" spans="5:15">
      <c r="E577" s="428"/>
      <c r="H577" s="429"/>
      <c r="I577" s="421"/>
      <c r="J577" s="421"/>
      <c r="K577" s="401"/>
      <c r="L577" s="538"/>
      <c r="M577" s="203"/>
      <c r="N577" s="399"/>
      <c r="O577" s="400"/>
    </row>
    <row r="578" spans="5:15">
      <c r="E578" s="428"/>
      <c r="H578" s="429"/>
      <c r="I578" s="421"/>
      <c r="J578" s="421"/>
      <c r="K578" s="401"/>
      <c r="L578" s="538"/>
      <c r="M578" s="203"/>
      <c r="N578" s="399"/>
      <c r="O578" s="400"/>
    </row>
    <row r="579" spans="5:15">
      <c r="E579" s="428"/>
      <c r="H579" s="429"/>
      <c r="I579" s="421"/>
      <c r="J579" s="421"/>
      <c r="K579" s="401"/>
      <c r="L579" s="538"/>
      <c r="M579" s="203"/>
      <c r="N579" s="399"/>
      <c r="O579" s="400"/>
    </row>
    <row r="580" spans="5:15">
      <c r="E580" s="428"/>
      <c r="H580" s="429"/>
      <c r="I580" s="421"/>
      <c r="J580" s="421"/>
      <c r="K580" s="401"/>
      <c r="L580" s="538"/>
      <c r="M580" s="203"/>
      <c r="N580" s="399"/>
      <c r="O580" s="400"/>
    </row>
    <row r="581" spans="5:15">
      <c r="E581" s="428"/>
      <c r="H581" s="429"/>
      <c r="I581" s="421"/>
      <c r="J581" s="421"/>
      <c r="K581" s="401"/>
      <c r="L581" s="538"/>
      <c r="M581" s="203"/>
      <c r="N581" s="399"/>
      <c r="O581" s="400"/>
    </row>
    <row r="582" spans="5:15">
      <c r="E582" s="428"/>
      <c r="H582" s="429"/>
      <c r="I582" s="421"/>
      <c r="J582" s="421"/>
      <c r="K582" s="401"/>
      <c r="L582" s="538"/>
      <c r="M582" s="203"/>
      <c r="N582" s="399"/>
      <c r="O582" s="400"/>
    </row>
    <row r="583" spans="5:15">
      <c r="E583" s="428"/>
      <c r="H583" s="429"/>
      <c r="I583" s="421"/>
      <c r="J583" s="421"/>
      <c r="K583" s="401"/>
      <c r="L583" s="538"/>
      <c r="M583" s="203"/>
      <c r="N583" s="399"/>
      <c r="O583" s="400"/>
    </row>
    <row r="584" spans="5:15">
      <c r="E584" s="428"/>
      <c r="H584" s="429"/>
      <c r="I584" s="421"/>
      <c r="J584" s="421"/>
      <c r="K584" s="401"/>
      <c r="L584" s="538"/>
      <c r="M584" s="203"/>
      <c r="N584" s="399"/>
      <c r="O584" s="400"/>
    </row>
    <row r="585" spans="5:15">
      <c r="E585" s="428"/>
      <c r="H585" s="429"/>
      <c r="I585" s="421"/>
      <c r="J585" s="421"/>
      <c r="K585" s="401"/>
      <c r="L585" s="538"/>
      <c r="M585" s="203"/>
      <c r="N585" s="399"/>
      <c r="O585" s="400"/>
    </row>
    <row r="586" spans="5:15">
      <c r="E586" s="428"/>
      <c r="H586" s="429"/>
      <c r="I586" s="421"/>
      <c r="J586" s="421"/>
      <c r="K586" s="401"/>
      <c r="L586" s="538"/>
      <c r="M586" s="203"/>
      <c r="N586" s="399"/>
      <c r="O586" s="400"/>
    </row>
    <row r="587" spans="5:15">
      <c r="E587" s="428"/>
      <c r="H587" s="429"/>
      <c r="I587" s="421"/>
      <c r="J587" s="421"/>
      <c r="K587" s="401"/>
      <c r="L587" s="538"/>
      <c r="M587" s="203"/>
      <c r="N587" s="399"/>
      <c r="O587" s="400"/>
    </row>
    <row r="588" spans="5:15">
      <c r="E588" s="428"/>
      <c r="H588" s="429"/>
      <c r="I588" s="421"/>
      <c r="J588" s="421"/>
      <c r="K588" s="401"/>
      <c r="L588" s="538"/>
      <c r="M588" s="203"/>
      <c r="N588" s="399"/>
      <c r="O588" s="400"/>
    </row>
    <row r="589" spans="5:15">
      <c r="E589" s="428"/>
      <c r="H589" s="429"/>
      <c r="I589" s="421"/>
      <c r="J589" s="421"/>
      <c r="K589" s="401"/>
      <c r="L589" s="538"/>
      <c r="M589" s="203"/>
      <c r="N589" s="399"/>
      <c r="O589" s="400"/>
    </row>
    <row r="590" spans="5:15">
      <c r="E590" s="428"/>
      <c r="H590" s="429"/>
      <c r="I590" s="421"/>
      <c r="J590" s="421"/>
      <c r="K590" s="401"/>
      <c r="L590" s="538"/>
      <c r="M590" s="203"/>
      <c r="N590" s="399"/>
      <c r="O590" s="400"/>
    </row>
    <row r="591" spans="5:15">
      <c r="E591" s="428"/>
      <c r="H591" s="429"/>
      <c r="I591" s="421"/>
      <c r="J591" s="421"/>
      <c r="K591" s="401"/>
      <c r="L591" s="538"/>
      <c r="M591" s="203"/>
      <c r="N591" s="399"/>
      <c r="O591" s="400"/>
    </row>
    <row r="592" spans="5:15">
      <c r="E592" s="428"/>
      <c r="H592" s="429"/>
      <c r="I592" s="421"/>
      <c r="J592" s="421"/>
      <c r="K592" s="401"/>
      <c r="L592" s="538"/>
      <c r="M592" s="203"/>
      <c r="N592" s="399"/>
      <c r="O592" s="400"/>
    </row>
    <row r="593" spans="5:15">
      <c r="E593" s="428"/>
      <c r="H593" s="429"/>
      <c r="I593" s="421"/>
      <c r="J593" s="421"/>
      <c r="K593" s="401"/>
      <c r="L593" s="538"/>
      <c r="M593" s="203"/>
      <c r="N593" s="399"/>
      <c r="O593" s="400"/>
    </row>
    <row r="594" spans="5:15">
      <c r="E594" s="428"/>
      <c r="H594" s="429"/>
      <c r="I594" s="421"/>
      <c r="J594" s="421"/>
      <c r="K594" s="401"/>
      <c r="L594" s="538"/>
      <c r="M594" s="203"/>
      <c r="N594" s="399"/>
      <c r="O594" s="400"/>
    </row>
    <row r="595" spans="5:15">
      <c r="E595" s="428"/>
      <c r="H595" s="429"/>
      <c r="I595" s="421"/>
      <c r="J595" s="421"/>
      <c r="K595" s="401"/>
      <c r="L595" s="538"/>
      <c r="M595" s="203"/>
      <c r="N595" s="399"/>
      <c r="O595" s="400"/>
    </row>
    <row r="596" spans="5:15">
      <c r="E596" s="428"/>
      <c r="H596" s="429"/>
      <c r="I596" s="421"/>
      <c r="J596" s="421"/>
      <c r="K596" s="401"/>
      <c r="L596" s="538"/>
      <c r="M596" s="203"/>
      <c r="N596" s="399"/>
      <c r="O596" s="400"/>
    </row>
    <row r="597" spans="5:15">
      <c r="E597" s="428"/>
      <c r="H597" s="429"/>
      <c r="I597" s="421"/>
      <c r="J597" s="421"/>
      <c r="K597" s="401"/>
      <c r="L597" s="538"/>
      <c r="M597" s="203"/>
      <c r="N597" s="399"/>
      <c r="O597" s="400"/>
    </row>
    <row r="598" spans="5:15">
      <c r="E598" s="428"/>
      <c r="H598" s="429"/>
      <c r="I598" s="421"/>
      <c r="J598" s="421"/>
      <c r="K598" s="401"/>
      <c r="L598" s="538"/>
      <c r="M598" s="203"/>
      <c r="N598" s="399"/>
      <c r="O598" s="400"/>
    </row>
    <row r="599" spans="5:15">
      <c r="E599" s="428"/>
      <c r="H599" s="429"/>
      <c r="I599" s="421"/>
      <c r="J599" s="421"/>
      <c r="K599" s="401"/>
      <c r="L599" s="538"/>
      <c r="M599" s="203"/>
      <c r="N599" s="399"/>
      <c r="O599" s="400"/>
    </row>
    <row r="600" spans="5:15">
      <c r="E600" s="428"/>
      <c r="H600" s="429"/>
      <c r="I600" s="421"/>
      <c r="J600" s="421"/>
      <c r="K600" s="401"/>
      <c r="L600" s="538"/>
      <c r="M600" s="203"/>
      <c r="N600" s="399"/>
      <c r="O600" s="400"/>
    </row>
    <row r="601" spans="5:15">
      <c r="E601" s="428"/>
      <c r="H601" s="429"/>
      <c r="I601" s="421"/>
      <c r="J601" s="421"/>
      <c r="K601" s="401"/>
      <c r="L601" s="538"/>
      <c r="M601" s="203"/>
      <c r="N601" s="399"/>
      <c r="O601" s="400"/>
    </row>
    <row r="602" spans="5:15">
      <c r="E602" s="428"/>
      <c r="H602" s="429"/>
      <c r="I602" s="421"/>
      <c r="J602" s="421"/>
      <c r="K602" s="401"/>
      <c r="L602" s="538"/>
      <c r="M602" s="203"/>
      <c r="N602" s="399"/>
      <c r="O602" s="400"/>
    </row>
    <row r="603" spans="5:15">
      <c r="E603" s="428"/>
      <c r="H603" s="429"/>
      <c r="I603" s="421"/>
      <c r="J603" s="421"/>
      <c r="K603" s="401"/>
      <c r="L603" s="538"/>
      <c r="M603" s="203"/>
      <c r="N603" s="399"/>
      <c r="O603" s="400"/>
    </row>
    <row r="604" spans="5:15">
      <c r="E604" s="428"/>
      <c r="H604" s="429"/>
      <c r="I604" s="421"/>
      <c r="J604" s="421"/>
      <c r="K604" s="401"/>
      <c r="L604" s="538"/>
      <c r="M604" s="203"/>
      <c r="N604" s="399"/>
      <c r="O604" s="400"/>
    </row>
    <row r="605" spans="5:15">
      <c r="E605" s="428"/>
      <c r="H605" s="429"/>
      <c r="I605" s="421"/>
      <c r="J605" s="421"/>
      <c r="K605" s="401"/>
      <c r="L605" s="538"/>
      <c r="M605" s="203"/>
      <c r="N605" s="399"/>
      <c r="O605" s="400"/>
    </row>
    <row r="606" spans="5:15">
      <c r="E606" s="428"/>
      <c r="H606" s="429"/>
      <c r="I606" s="421"/>
      <c r="J606" s="421"/>
      <c r="K606" s="401"/>
      <c r="L606" s="538"/>
      <c r="M606" s="203"/>
      <c r="N606" s="399"/>
      <c r="O606" s="400"/>
    </row>
    <row r="607" spans="5:15">
      <c r="E607" s="428"/>
      <c r="H607" s="429"/>
      <c r="I607" s="421"/>
      <c r="J607" s="421"/>
      <c r="K607" s="401"/>
      <c r="L607" s="538"/>
      <c r="M607" s="203"/>
      <c r="N607" s="399"/>
      <c r="O607" s="400"/>
    </row>
    <row r="608" spans="5:15">
      <c r="E608" s="428"/>
      <c r="H608" s="429"/>
      <c r="I608" s="421"/>
      <c r="J608" s="421"/>
      <c r="K608" s="401"/>
      <c r="L608" s="538"/>
      <c r="M608" s="203"/>
      <c r="N608" s="399"/>
      <c r="O608" s="400"/>
    </row>
    <row r="609" spans="5:15">
      <c r="E609" s="428"/>
      <c r="H609" s="429"/>
      <c r="I609" s="421"/>
      <c r="J609" s="421"/>
      <c r="K609" s="401"/>
      <c r="L609" s="538"/>
      <c r="M609" s="203"/>
      <c r="N609" s="399"/>
      <c r="O609" s="400"/>
    </row>
    <row r="610" spans="5:15">
      <c r="E610" s="428"/>
      <c r="H610" s="429"/>
      <c r="I610" s="421"/>
      <c r="J610" s="421"/>
      <c r="K610" s="401"/>
      <c r="L610" s="538"/>
      <c r="M610" s="203"/>
      <c r="N610" s="399"/>
      <c r="O610" s="400"/>
    </row>
    <row r="611" spans="5:15">
      <c r="E611" s="428"/>
      <c r="H611" s="429"/>
      <c r="I611" s="421"/>
      <c r="J611" s="421"/>
      <c r="K611" s="401"/>
      <c r="L611" s="538"/>
      <c r="M611" s="203"/>
      <c r="N611" s="399"/>
      <c r="O611" s="400"/>
    </row>
    <row r="612" spans="5:15">
      <c r="E612" s="428"/>
      <c r="H612" s="429"/>
      <c r="I612" s="421"/>
      <c r="J612" s="421"/>
      <c r="K612" s="401"/>
      <c r="L612" s="538"/>
      <c r="M612" s="203"/>
      <c r="N612" s="399"/>
      <c r="O612" s="400"/>
    </row>
    <row r="613" spans="5:15">
      <c r="E613" s="428"/>
      <c r="H613" s="429"/>
      <c r="I613" s="421"/>
      <c r="J613" s="421"/>
      <c r="K613" s="401"/>
      <c r="L613" s="538"/>
      <c r="M613" s="203"/>
      <c r="N613" s="399"/>
      <c r="O613" s="400"/>
    </row>
    <row r="614" spans="5:15">
      <c r="E614" s="428"/>
      <c r="H614" s="429"/>
      <c r="I614" s="421"/>
      <c r="J614" s="421"/>
      <c r="K614" s="401"/>
      <c r="L614" s="538"/>
      <c r="M614" s="203"/>
      <c r="N614" s="399"/>
      <c r="O614" s="400"/>
    </row>
    <row r="615" spans="5:15">
      <c r="E615" s="428"/>
      <c r="H615" s="429"/>
      <c r="I615" s="421"/>
      <c r="J615" s="421"/>
      <c r="K615" s="401"/>
      <c r="L615" s="538"/>
      <c r="M615" s="203"/>
      <c r="N615" s="399"/>
      <c r="O615" s="400"/>
    </row>
    <row r="616" spans="5:15">
      <c r="E616" s="428"/>
      <c r="H616" s="429"/>
      <c r="I616" s="421"/>
      <c r="J616" s="421"/>
      <c r="K616" s="401"/>
      <c r="L616" s="538"/>
      <c r="M616" s="203"/>
      <c r="N616" s="399"/>
      <c r="O616" s="400"/>
    </row>
    <row r="617" spans="5:15">
      <c r="E617" s="428"/>
      <c r="H617" s="429"/>
      <c r="I617" s="421"/>
      <c r="J617" s="421"/>
      <c r="K617" s="401"/>
      <c r="L617" s="538"/>
      <c r="M617" s="203"/>
      <c r="N617" s="399"/>
      <c r="O617" s="400"/>
    </row>
    <row r="618" spans="5:15">
      <c r="E618" s="428"/>
      <c r="H618" s="429"/>
      <c r="I618" s="421"/>
      <c r="J618" s="421"/>
      <c r="K618" s="401"/>
      <c r="L618" s="538"/>
      <c r="M618" s="203"/>
      <c r="N618" s="399"/>
      <c r="O618" s="400"/>
    </row>
    <row r="619" spans="5:15">
      <c r="E619" s="428"/>
      <c r="H619" s="429"/>
      <c r="I619" s="421"/>
      <c r="J619" s="421"/>
      <c r="K619" s="401"/>
      <c r="L619" s="538"/>
      <c r="M619" s="203"/>
      <c r="N619" s="399"/>
      <c r="O619" s="400"/>
    </row>
    <row r="620" spans="5:15">
      <c r="E620" s="428"/>
      <c r="H620" s="429"/>
      <c r="I620" s="421"/>
      <c r="J620" s="421"/>
      <c r="K620" s="401"/>
      <c r="L620" s="538"/>
      <c r="M620" s="203"/>
      <c r="N620" s="399"/>
      <c r="O620" s="400"/>
    </row>
    <row r="621" spans="5:15">
      <c r="E621" s="428"/>
      <c r="H621" s="429"/>
      <c r="I621" s="421"/>
      <c r="J621" s="421"/>
      <c r="K621" s="401"/>
      <c r="L621" s="538"/>
      <c r="M621" s="203"/>
      <c r="N621" s="399"/>
      <c r="O621" s="400"/>
    </row>
    <row r="622" spans="5:15">
      <c r="E622" s="428"/>
      <c r="H622" s="429"/>
      <c r="I622" s="421"/>
      <c r="J622" s="421"/>
      <c r="K622" s="401"/>
      <c r="L622" s="538"/>
      <c r="M622" s="203"/>
      <c r="N622" s="399"/>
      <c r="O622" s="400"/>
    </row>
    <row r="623" spans="5:15">
      <c r="E623" s="428"/>
      <c r="H623" s="429"/>
      <c r="I623" s="421"/>
      <c r="J623" s="421"/>
      <c r="K623" s="401"/>
      <c r="L623" s="538"/>
      <c r="M623" s="203"/>
      <c r="N623" s="399"/>
      <c r="O623" s="400"/>
    </row>
    <row r="624" spans="5:15">
      <c r="E624" s="428"/>
      <c r="H624" s="429"/>
      <c r="I624" s="421"/>
      <c r="J624" s="421"/>
      <c r="K624" s="401"/>
      <c r="L624" s="538"/>
      <c r="M624" s="203"/>
      <c r="N624" s="399"/>
      <c r="O624" s="400"/>
    </row>
    <row r="625" spans="5:15">
      <c r="E625" s="428"/>
      <c r="H625" s="429"/>
      <c r="I625" s="421"/>
      <c r="J625" s="421"/>
      <c r="K625" s="401"/>
      <c r="L625" s="538"/>
      <c r="M625" s="203"/>
      <c r="N625" s="399"/>
      <c r="O625" s="400"/>
    </row>
    <row r="626" spans="5:15">
      <c r="E626" s="428"/>
      <c r="H626" s="429"/>
      <c r="I626" s="421"/>
      <c r="J626" s="421"/>
      <c r="K626" s="401"/>
      <c r="L626" s="538"/>
      <c r="M626" s="203"/>
      <c r="N626" s="399"/>
      <c r="O626" s="400"/>
    </row>
    <row r="627" spans="5:15">
      <c r="E627" s="428"/>
      <c r="H627" s="429"/>
      <c r="I627" s="421"/>
      <c r="J627" s="421"/>
      <c r="K627" s="401"/>
      <c r="L627" s="538"/>
      <c r="M627" s="203"/>
      <c r="N627" s="399"/>
      <c r="O627" s="400"/>
    </row>
    <row r="628" spans="5:15">
      <c r="E628" s="428"/>
      <c r="H628" s="429"/>
      <c r="I628" s="421"/>
      <c r="J628" s="421"/>
      <c r="K628" s="401"/>
      <c r="L628" s="538"/>
      <c r="M628" s="203"/>
      <c r="N628" s="399"/>
      <c r="O628" s="400"/>
    </row>
    <row r="629" spans="5:15">
      <c r="E629" s="428"/>
      <c r="H629" s="429"/>
      <c r="I629" s="421"/>
      <c r="J629" s="421"/>
      <c r="K629" s="401"/>
      <c r="L629" s="538"/>
      <c r="M629" s="203"/>
      <c r="N629" s="399"/>
      <c r="O629" s="400"/>
    </row>
    <row r="630" spans="5:15">
      <c r="E630" s="428"/>
      <c r="H630" s="429"/>
      <c r="I630" s="421"/>
      <c r="J630" s="421"/>
      <c r="K630" s="401"/>
      <c r="L630" s="538"/>
      <c r="M630" s="203"/>
      <c r="N630" s="399"/>
      <c r="O630" s="400"/>
    </row>
    <row r="631" spans="5:15">
      <c r="E631" s="428"/>
      <c r="H631" s="429"/>
      <c r="I631" s="421"/>
      <c r="J631" s="421"/>
      <c r="K631" s="401"/>
      <c r="L631" s="538"/>
      <c r="M631" s="203"/>
      <c r="N631" s="399"/>
      <c r="O631" s="400"/>
    </row>
    <row r="632" spans="5:15">
      <c r="E632" s="428"/>
      <c r="H632" s="429"/>
      <c r="I632" s="421"/>
      <c r="J632" s="421"/>
      <c r="K632" s="401"/>
      <c r="L632" s="538"/>
      <c r="M632" s="203"/>
      <c r="N632" s="399"/>
      <c r="O632" s="400"/>
    </row>
    <row r="633" spans="5:15">
      <c r="E633" s="428"/>
      <c r="H633" s="429"/>
      <c r="I633" s="421"/>
      <c r="J633" s="421"/>
      <c r="K633" s="401"/>
      <c r="L633" s="538"/>
      <c r="M633" s="203"/>
      <c r="N633" s="399"/>
      <c r="O633" s="400"/>
    </row>
    <row r="634" spans="5:15">
      <c r="E634" s="428"/>
      <c r="H634" s="429"/>
      <c r="I634" s="421"/>
      <c r="J634" s="421"/>
      <c r="K634" s="401"/>
      <c r="L634" s="538"/>
      <c r="M634" s="203"/>
      <c r="N634" s="399"/>
      <c r="O634" s="400"/>
    </row>
    <row r="635" spans="5:15">
      <c r="E635" s="428"/>
      <c r="H635" s="429"/>
      <c r="I635" s="421"/>
      <c r="J635" s="421"/>
      <c r="K635" s="401"/>
      <c r="L635" s="538"/>
      <c r="M635" s="203"/>
      <c r="N635" s="399"/>
      <c r="O635" s="400"/>
    </row>
    <row r="636" spans="5:15">
      <c r="E636" s="428"/>
      <c r="H636" s="429"/>
      <c r="I636" s="421"/>
      <c r="J636" s="421"/>
      <c r="K636" s="401"/>
      <c r="L636" s="538"/>
      <c r="M636" s="203"/>
      <c r="N636" s="399"/>
      <c r="O636" s="400"/>
    </row>
    <row r="637" spans="5:15">
      <c r="E637" s="428"/>
      <c r="H637" s="429"/>
      <c r="I637" s="421"/>
      <c r="J637" s="421"/>
      <c r="K637" s="401"/>
      <c r="L637" s="538"/>
      <c r="M637" s="203"/>
      <c r="N637" s="399"/>
      <c r="O637" s="400"/>
    </row>
    <row r="638" spans="5:15">
      <c r="E638" s="428"/>
      <c r="H638" s="429"/>
      <c r="I638" s="421"/>
      <c r="J638" s="421"/>
      <c r="K638" s="401"/>
      <c r="L638" s="538"/>
      <c r="M638" s="203"/>
      <c r="N638" s="399"/>
      <c r="O638" s="400"/>
    </row>
    <row r="639" spans="5:15">
      <c r="E639" s="428"/>
      <c r="H639" s="429"/>
      <c r="I639" s="421"/>
      <c r="J639" s="421"/>
      <c r="K639" s="401"/>
      <c r="L639" s="538"/>
      <c r="M639" s="203"/>
      <c r="N639" s="399"/>
      <c r="O639" s="400"/>
    </row>
    <row r="640" spans="5:15">
      <c r="E640" s="428"/>
      <c r="H640" s="429"/>
      <c r="I640" s="421"/>
      <c r="J640" s="421"/>
      <c r="K640" s="401"/>
      <c r="L640" s="538"/>
      <c r="M640" s="203"/>
      <c r="N640" s="399"/>
      <c r="O640" s="400"/>
    </row>
    <row r="641" spans="5:15">
      <c r="E641" s="428"/>
      <c r="H641" s="429"/>
      <c r="I641" s="421"/>
      <c r="J641" s="421"/>
      <c r="K641" s="401"/>
      <c r="L641" s="538"/>
      <c r="M641" s="203"/>
      <c r="N641" s="399"/>
      <c r="O641" s="400"/>
    </row>
    <row r="642" spans="5:15">
      <c r="E642" s="428"/>
      <c r="H642" s="429"/>
      <c r="I642" s="421"/>
      <c r="J642" s="421"/>
      <c r="K642" s="401"/>
      <c r="L642" s="538"/>
      <c r="M642" s="203"/>
      <c r="N642" s="399"/>
      <c r="O642" s="400"/>
    </row>
    <row r="643" spans="5:15">
      <c r="E643" s="428"/>
      <c r="H643" s="429"/>
      <c r="I643" s="421"/>
      <c r="J643" s="421"/>
      <c r="K643" s="401"/>
      <c r="L643" s="538"/>
      <c r="M643" s="203"/>
      <c r="N643" s="399"/>
      <c r="O643" s="400"/>
    </row>
    <row r="644" spans="5:15">
      <c r="E644" s="428"/>
      <c r="H644" s="429"/>
      <c r="I644" s="421"/>
      <c r="J644" s="421"/>
      <c r="K644" s="401"/>
      <c r="L644" s="538"/>
      <c r="M644" s="203"/>
      <c r="N644" s="399"/>
      <c r="O644" s="400"/>
    </row>
    <row r="645" spans="5:15">
      <c r="E645" s="428"/>
      <c r="H645" s="429"/>
      <c r="I645" s="421"/>
      <c r="J645" s="421"/>
      <c r="K645" s="401"/>
      <c r="L645" s="538"/>
      <c r="M645" s="203"/>
      <c r="N645" s="399"/>
      <c r="O645" s="400"/>
    </row>
    <row r="646" spans="5:15">
      <c r="E646" s="428"/>
      <c r="H646" s="429"/>
      <c r="I646" s="421"/>
      <c r="J646" s="421"/>
      <c r="K646" s="401"/>
      <c r="L646" s="538"/>
      <c r="M646" s="203"/>
      <c r="N646" s="399"/>
      <c r="O646" s="400"/>
    </row>
    <row r="647" spans="5:15">
      <c r="E647" s="428"/>
      <c r="H647" s="429"/>
      <c r="I647" s="421"/>
      <c r="J647" s="421"/>
      <c r="K647" s="401"/>
      <c r="L647" s="538"/>
      <c r="M647" s="203"/>
      <c r="N647" s="399"/>
      <c r="O647" s="400"/>
    </row>
    <row r="648" spans="5:15">
      <c r="E648" s="428"/>
      <c r="H648" s="429"/>
      <c r="I648" s="421"/>
      <c r="J648" s="421"/>
      <c r="K648" s="401"/>
      <c r="L648" s="538"/>
      <c r="M648" s="203"/>
      <c r="N648" s="399"/>
      <c r="O648" s="400"/>
    </row>
    <row r="649" spans="5:15">
      <c r="E649" s="428"/>
      <c r="H649" s="429"/>
      <c r="I649" s="421"/>
      <c r="J649" s="421"/>
      <c r="K649" s="401"/>
      <c r="L649" s="538"/>
      <c r="M649" s="203"/>
      <c r="N649" s="399"/>
      <c r="O649" s="400"/>
    </row>
    <row r="650" spans="5:15">
      <c r="E650" s="428"/>
      <c r="H650" s="429"/>
      <c r="I650" s="421"/>
      <c r="J650" s="421"/>
      <c r="K650" s="401"/>
      <c r="L650" s="538"/>
      <c r="M650" s="203"/>
      <c r="N650" s="399"/>
      <c r="O650" s="400"/>
    </row>
    <row r="651" spans="5:15">
      <c r="E651" s="428"/>
      <c r="H651" s="429"/>
      <c r="I651" s="421"/>
      <c r="J651" s="421"/>
      <c r="K651" s="401"/>
      <c r="L651" s="538"/>
      <c r="M651" s="203"/>
      <c r="N651" s="399"/>
      <c r="O651" s="400"/>
    </row>
    <row r="652" spans="5:15">
      <c r="E652" s="428"/>
      <c r="H652" s="429"/>
      <c r="I652" s="421"/>
      <c r="J652" s="421"/>
      <c r="K652" s="401"/>
      <c r="L652" s="538"/>
      <c r="M652" s="203"/>
      <c r="N652" s="399"/>
      <c r="O652" s="400"/>
    </row>
    <row r="653" spans="5:15">
      <c r="E653" s="428"/>
      <c r="H653" s="429"/>
      <c r="I653" s="421"/>
      <c r="J653" s="421"/>
      <c r="K653" s="401"/>
      <c r="L653" s="538"/>
      <c r="M653" s="203"/>
      <c r="N653" s="399"/>
      <c r="O653" s="400"/>
    </row>
    <row r="654" spans="5:15">
      <c r="E654" s="428"/>
      <c r="H654" s="429"/>
      <c r="I654" s="421"/>
      <c r="J654" s="421"/>
      <c r="K654" s="401"/>
      <c r="L654" s="538"/>
      <c r="M654" s="203"/>
      <c r="N654" s="399"/>
      <c r="O654" s="400"/>
    </row>
    <row r="655" spans="5:15">
      <c r="E655" s="428"/>
      <c r="H655" s="429"/>
      <c r="I655" s="421"/>
      <c r="J655" s="421"/>
      <c r="K655" s="401"/>
      <c r="L655" s="538"/>
      <c r="M655" s="203"/>
      <c r="N655" s="399"/>
      <c r="O655" s="400"/>
    </row>
    <row r="656" spans="5:15">
      <c r="E656" s="428"/>
      <c r="H656" s="429"/>
      <c r="I656" s="421"/>
      <c r="J656" s="421"/>
      <c r="K656" s="401"/>
      <c r="L656" s="538"/>
      <c r="M656" s="203"/>
      <c r="N656" s="399"/>
      <c r="O656" s="400"/>
    </row>
    <row r="657" spans="5:15">
      <c r="E657" s="428"/>
      <c r="H657" s="429"/>
      <c r="I657" s="421"/>
      <c r="J657" s="421"/>
      <c r="K657" s="401"/>
      <c r="L657" s="538"/>
      <c r="M657" s="203"/>
      <c r="N657" s="399"/>
      <c r="O657" s="400"/>
    </row>
    <row r="658" spans="5:15">
      <c r="E658" s="428"/>
      <c r="H658" s="429"/>
      <c r="I658" s="421"/>
      <c r="J658" s="421"/>
      <c r="K658" s="401"/>
      <c r="L658" s="538"/>
      <c r="M658" s="203"/>
      <c r="N658" s="399"/>
      <c r="O658" s="400"/>
    </row>
    <row r="659" spans="5:15">
      <c r="E659" s="428"/>
      <c r="H659" s="429"/>
      <c r="I659" s="421"/>
      <c r="J659" s="421"/>
      <c r="K659" s="401"/>
      <c r="L659" s="538"/>
      <c r="M659" s="203"/>
      <c r="N659" s="399"/>
      <c r="O659" s="400"/>
    </row>
    <row r="660" spans="5:15">
      <c r="E660" s="428"/>
      <c r="H660" s="429"/>
      <c r="I660" s="421"/>
      <c r="J660" s="421"/>
      <c r="K660" s="401"/>
      <c r="L660" s="538"/>
      <c r="M660" s="203"/>
      <c r="N660" s="399"/>
      <c r="O660" s="400"/>
    </row>
    <row r="661" spans="5:15">
      <c r="E661" s="428"/>
      <c r="H661" s="429"/>
      <c r="I661" s="421"/>
      <c r="J661" s="421"/>
      <c r="K661" s="401"/>
      <c r="L661" s="538"/>
      <c r="M661" s="203"/>
      <c r="N661" s="399"/>
      <c r="O661" s="400"/>
    </row>
    <row r="662" spans="5:15">
      <c r="E662" s="428"/>
      <c r="H662" s="429"/>
      <c r="I662" s="421"/>
      <c r="J662" s="421"/>
      <c r="K662" s="401"/>
      <c r="L662" s="538"/>
      <c r="M662" s="203"/>
      <c r="N662" s="399"/>
      <c r="O662" s="400"/>
    </row>
    <row r="663" spans="5:15">
      <c r="E663" s="428"/>
      <c r="H663" s="429"/>
      <c r="I663" s="421"/>
      <c r="J663" s="421"/>
      <c r="K663" s="401"/>
      <c r="L663" s="538"/>
      <c r="M663" s="203"/>
      <c r="N663" s="399"/>
      <c r="O663" s="400"/>
    </row>
    <row r="664" spans="5:15">
      <c r="E664" s="428"/>
      <c r="H664" s="429"/>
      <c r="I664" s="421"/>
      <c r="J664" s="421"/>
      <c r="K664" s="401"/>
      <c r="L664" s="538"/>
      <c r="M664" s="203"/>
      <c r="N664" s="399"/>
      <c r="O664" s="400"/>
    </row>
    <row r="665" spans="5:15">
      <c r="E665" s="428"/>
      <c r="H665" s="429"/>
      <c r="I665" s="421"/>
      <c r="J665" s="421"/>
      <c r="K665" s="401"/>
      <c r="L665" s="538"/>
      <c r="M665" s="203"/>
      <c r="N665" s="399"/>
      <c r="O665" s="400"/>
    </row>
    <row r="666" spans="5:15">
      <c r="E666" s="428"/>
      <c r="H666" s="429"/>
      <c r="I666" s="421"/>
      <c r="J666" s="421"/>
      <c r="K666" s="401"/>
      <c r="L666" s="538"/>
      <c r="M666" s="203"/>
      <c r="N666" s="399"/>
      <c r="O666" s="400"/>
    </row>
    <row r="667" spans="5:15">
      <c r="E667" s="428"/>
      <c r="H667" s="429"/>
      <c r="I667" s="421"/>
      <c r="J667" s="421"/>
      <c r="K667" s="401"/>
      <c r="L667" s="538"/>
      <c r="M667" s="203"/>
      <c r="N667" s="399"/>
      <c r="O667" s="400"/>
    </row>
    <row r="668" spans="5:15">
      <c r="E668" s="428"/>
      <c r="H668" s="429"/>
      <c r="I668" s="421"/>
      <c r="J668" s="421"/>
      <c r="K668" s="401"/>
      <c r="L668" s="538"/>
      <c r="M668" s="203"/>
      <c r="N668" s="399"/>
      <c r="O668" s="400"/>
    </row>
    <row r="669" spans="5:15">
      <c r="E669" s="428"/>
      <c r="H669" s="429"/>
      <c r="I669" s="421"/>
      <c r="J669" s="421"/>
      <c r="K669" s="401"/>
      <c r="L669" s="538"/>
      <c r="M669" s="203"/>
      <c r="N669" s="399"/>
      <c r="O669" s="400"/>
    </row>
    <row r="670" spans="5:15">
      <c r="E670" s="428"/>
      <c r="H670" s="429"/>
      <c r="I670" s="421"/>
      <c r="J670" s="421"/>
      <c r="K670" s="401"/>
      <c r="L670" s="538"/>
      <c r="M670" s="203"/>
      <c r="N670" s="399"/>
      <c r="O670" s="400"/>
    </row>
    <row r="671" spans="5:15">
      <c r="E671" s="428"/>
      <c r="H671" s="429"/>
      <c r="I671" s="421"/>
      <c r="J671" s="421"/>
      <c r="K671" s="401"/>
      <c r="L671" s="538"/>
      <c r="M671" s="203"/>
      <c r="N671" s="399"/>
      <c r="O671" s="400"/>
    </row>
    <row r="672" spans="5:15">
      <c r="E672" s="428"/>
      <c r="H672" s="429"/>
      <c r="I672" s="421"/>
      <c r="J672" s="421"/>
      <c r="K672" s="401"/>
      <c r="L672" s="538"/>
      <c r="M672" s="203"/>
      <c r="N672" s="399"/>
      <c r="O672" s="400"/>
    </row>
    <row r="673" spans="5:15">
      <c r="E673" s="428"/>
      <c r="H673" s="429"/>
      <c r="I673" s="421"/>
      <c r="J673" s="421"/>
      <c r="K673" s="401"/>
      <c r="L673" s="538"/>
      <c r="M673" s="203"/>
      <c r="N673" s="399"/>
      <c r="O673" s="400"/>
    </row>
    <row r="674" spans="5:15">
      <c r="E674" s="428"/>
      <c r="H674" s="429"/>
      <c r="I674" s="421"/>
      <c r="J674" s="421"/>
      <c r="K674" s="401"/>
      <c r="L674" s="538"/>
      <c r="M674" s="203"/>
      <c r="N674" s="399"/>
      <c r="O674" s="400"/>
    </row>
    <row r="675" spans="5:15">
      <c r="E675" s="428"/>
      <c r="H675" s="429"/>
      <c r="I675" s="421"/>
      <c r="J675" s="421"/>
      <c r="K675" s="401"/>
      <c r="L675" s="538"/>
      <c r="M675" s="203"/>
      <c r="N675" s="399"/>
      <c r="O675" s="400"/>
    </row>
    <row r="676" spans="5:15">
      <c r="E676" s="428"/>
      <c r="H676" s="429"/>
      <c r="I676" s="421"/>
      <c r="J676" s="421"/>
      <c r="K676" s="401"/>
      <c r="L676" s="538"/>
      <c r="M676" s="203"/>
      <c r="N676" s="399"/>
      <c r="O676" s="400"/>
    </row>
    <row r="677" spans="5:15">
      <c r="E677" s="428"/>
      <c r="H677" s="429"/>
      <c r="I677" s="421"/>
      <c r="J677" s="421"/>
      <c r="K677" s="401"/>
      <c r="L677" s="538"/>
      <c r="M677" s="203"/>
      <c r="N677" s="399"/>
      <c r="O677" s="400"/>
    </row>
    <row r="678" spans="5:15">
      <c r="E678" s="428"/>
      <c r="H678" s="429"/>
      <c r="I678" s="421"/>
      <c r="J678" s="421"/>
      <c r="K678" s="401"/>
      <c r="L678" s="538"/>
      <c r="M678" s="203"/>
      <c r="N678" s="399"/>
      <c r="O678" s="400"/>
    </row>
    <row r="679" spans="5:15">
      <c r="E679" s="428"/>
      <c r="H679" s="429"/>
      <c r="I679" s="421"/>
      <c r="J679" s="421"/>
      <c r="K679" s="401"/>
      <c r="L679" s="538"/>
      <c r="M679" s="203"/>
      <c r="N679" s="399"/>
      <c r="O679" s="400"/>
    </row>
    <row r="680" spans="5:15">
      <c r="E680" s="428"/>
      <c r="H680" s="429"/>
      <c r="I680" s="421"/>
      <c r="J680" s="421"/>
      <c r="K680" s="401"/>
      <c r="L680" s="538"/>
      <c r="M680" s="203"/>
      <c r="N680" s="399"/>
      <c r="O680" s="400"/>
    </row>
    <row r="681" spans="5:15">
      <c r="E681" s="428"/>
      <c r="H681" s="429"/>
      <c r="I681" s="421"/>
      <c r="J681" s="421"/>
      <c r="K681" s="401"/>
      <c r="L681" s="538"/>
      <c r="M681" s="203"/>
      <c r="N681" s="399"/>
      <c r="O681" s="400"/>
    </row>
    <row r="682" spans="5:15">
      <c r="E682" s="428"/>
      <c r="H682" s="429"/>
      <c r="I682" s="421"/>
      <c r="J682" s="421"/>
      <c r="K682" s="401"/>
      <c r="L682" s="538"/>
      <c r="M682" s="203"/>
      <c r="N682" s="399"/>
      <c r="O682" s="400"/>
    </row>
    <row r="683" spans="5:15">
      <c r="E683" s="428"/>
      <c r="H683" s="429"/>
      <c r="I683" s="421"/>
      <c r="J683" s="421"/>
      <c r="K683" s="401"/>
      <c r="L683" s="538"/>
      <c r="M683" s="203"/>
      <c r="N683" s="399"/>
      <c r="O683" s="400"/>
    </row>
    <row r="684" spans="5:15">
      <c r="E684" s="428"/>
      <c r="H684" s="429"/>
      <c r="I684" s="421"/>
      <c r="J684" s="421"/>
      <c r="K684" s="401"/>
      <c r="L684" s="538"/>
      <c r="M684" s="203"/>
      <c r="N684" s="399"/>
      <c r="O684" s="400"/>
    </row>
    <row r="685" spans="5:15">
      <c r="E685" s="428"/>
      <c r="H685" s="429"/>
      <c r="I685" s="421"/>
      <c r="J685" s="421"/>
      <c r="K685" s="401"/>
      <c r="L685" s="538"/>
      <c r="M685" s="203"/>
      <c r="N685" s="399"/>
      <c r="O685" s="400"/>
    </row>
    <row r="686" spans="5:15">
      <c r="E686" s="428"/>
      <c r="H686" s="429"/>
      <c r="I686" s="421"/>
      <c r="J686" s="421"/>
      <c r="K686" s="401"/>
      <c r="L686" s="538"/>
      <c r="M686" s="203"/>
      <c r="N686" s="399"/>
      <c r="O686" s="400"/>
    </row>
    <row r="687" spans="5:15">
      <c r="E687" s="428"/>
      <c r="H687" s="429"/>
      <c r="I687" s="421"/>
      <c r="J687" s="421"/>
      <c r="K687" s="401"/>
      <c r="L687" s="538"/>
      <c r="M687" s="203"/>
      <c r="N687" s="399"/>
      <c r="O687" s="400"/>
    </row>
    <row r="688" spans="5:15">
      <c r="E688" s="428"/>
      <c r="H688" s="429"/>
      <c r="I688" s="421"/>
      <c r="J688" s="421"/>
      <c r="K688" s="401"/>
      <c r="L688" s="538"/>
      <c r="M688" s="203"/>
      <c r="N688" s="399"/>
      <c r="O688" s="400"/>
    </row>
    <row r="689" spans="5:15">
      <c r="E689" s="428"/>
      <c r="H689" s="429"/>
      <c r="I689" s="421"/>
      <c r="J689" s="421"/>
      <c r="K689" s="401"/>
      <c r="L689" s="538"/>
      <c r="M689" s="203"/>
      <c r="N689" s="399"/>
      <c r="O689" s="400"/>
    </row>
    <row r="690" spans="5:15">
      <c r="E690" s="428"/>
      <c r="H690" s="429"/>
      <c r="I690" s="421"/>
      <c r="J690" s="421"/>
      <c r="K690" s="401"/>
      <c r="L690" s="538"/>
      <c r="M690" s="203"/>
      <c r="N690" s="399"/>
      <c r="O690" s="400"/>
    </row>
    <row r="691" spans="5:15">
      <c r="E691" s="428"/>
      <c r="H691" s="429"/>
      <c r="I691" s="421"/>
      <c r="J691" s="421"/>
      <c r="K691" s="401"/>
      <c r="L691" s="538"/>
      <c r="M691" s="203"/>
      <c r="N691" s="399"/>
      <c r="O691" s="400"/>
    </row>
    <row r="692" spans="5:15">
      <c r="E692" s="428"/>
      <c r="H692" s="429"/>
      <c r="I692" s="421"/>
      <c r="J692" s="421"/>
      <c r="K692" s="401"/>
      <c r="L692" s="538"/>
      <c r="M692" s="203"/>
      <c r="N692" s="399"/>
      <c r="O692" s="400"/>
    </row>
    <row r="693" spans="5:15">
      <c r="E693" s="428"/>
      <c r="H693" s="429"/>
      <c r="I693" s="421"/>
      <c r="J693" s="421"/>
      <c r="K693" s="401"/>
      <c r="L693" s="538"/>
      <c r="M693" s="203"/>
      <c r="N693" s="399"/>
      <c r="O693" s="400"/>
    </row>
    <row r="694" spans="5:15">
      <c r="E694" s="428"/>
      <c r="H694" s="429"/>
      <c r="I694" s="421"/>
      <c r="J694" s="421"/>
      <c r="K694" s="401"/>
      <c r="L694" s="538"/>
      <c r="M694" s="203"/>
      <c r="N694" s="399"/>
      <c r="O694" s="400"/>
    </row>
    <row r="695" spans="5:15">
      <c r="E695" s="428"/>
      <c r="H695" s="429"/>
      <c r="I695" s="421"/>
      <c r="J695" s="421"/>
      <c r="K695" s="401"/>
      <c r="L695" s="538"/>
      <c r="M695" s="203"/>
      <c r="N695" s="399"/>
      <c r="O695" s="400"/>
    </row>
    <row r="696" spans="5:15">
      <c r="E696" s="428"/>
      <c r="H696" s="429"/>
      <c r="I696" s="421"/>
      <c r="J696" s="421"/>
      <c r="K696" s="401"/>
      <c r="L696" s="538"/>
      <c r="M696" s="203"/>
      <c r="N696" s="399"/>
      <c r="O696" s="400"/>
    </row>
    <row r="697" spans="5:15">
      <c r="E697" s="428"/>
      <c r="H697" s="429"/>
      <c r="I697" s="421"/>
      <c r="J697" s="421"/>
      <c r="K697" s="401"/>
      <c r="L697" s="538"/>
      <c r="M697" s="203"/>
      <c r="N697" s="399"/>
      <c r="O697" s="400"/>
    </row>
    <row r="698" spans="5:15">
      <c r="E698" s="428"/>
      <c r="H698" s="429"/>
      <c r="I698" s="421"/>
      <c r="J698" s="421"/>
      <c r="K698" s="401"/>
      <c r="L698" s="538"/>
      <c r="M698" s="203"/>
      <c r="N698" s="399"/>
      <c r="O698" s="400"/>
    </row>
    <row r="699" spans="5:15">
      <c r="E699" s="428"/>
      <c r="H699" s="429"/>
      <c r="I699" s="421"/>
      <c r="J699" s="421"/>
      <c r="K699" s="401"/>
      <c r="L699" s="538"/>
      <c r="M699" s="203"/>
      <c r="N699" s="399"/>
      <c r="O699" s="400"/>
    </row>
    <row r="700" spans="5:15">
      <c r="E700" s="428"/>
      <c r="H700" s="429"/>
      <c r="I700" s="421"/>
      <c r="J700" s="421"/>
      <c r="K700" s="401"/>
      <c r="L700" s="538"/>
      <c r="M700" s="203"/>
      <c r="N700" s="399"/>
      <c r="O700" s="400"/>
    </row>
    <row r="701" spans="5:15">
      <c r="E701" s="428"/>
      <c r="H701" s="429"/>
      <c r="I701" s="421"/>
      <c r="J701" s="421"/>
      <c r="K701" s="401"/>
      <c r="L701" s="538"/>
      <c r="M701" s="203"/>
      <c r="N701" s="399"/>
      <c r="O701" s="400"/>
    </row>
    <row r="702" spans="5:15">
      <c r="E702" s="428"/>
      <c r="H702" s="429"/>
      <c r="I702" s="421"/>
      <c r="J702" s="421"/>
      <c r="K702" s="401"/>
      <c r="L702" s="538"/>
      <c r="M702" s="203"/>
      <c r="N702" s="399"/>
      <c r="O702" s="400"/>
    </row>
    <row r="703" spans="5:15">
      <c r="E703" s="428"/>
      <c r="H703" s="429"/>
      <c r="I703" s="421"/>
      <c r="J703" s="421"/>
      <c r="K703" s="401"/>
      <c r="L703" s="538"/>
      <c r="M703" s="203"/>
      <c r="N703" s="399"/>
      <c r="O703" s="400"/>
    </row>
    <row r="704" spans="5:15">
      <c r="E704" s="428"/>
      <c r="H704" s="429"/>
      <c r="I704" s="421"/>
      <c r="J704" s="421"/>
      <c r="K704" s="401"/>
      <c r="L704" s="538"/>
      <c r="M704" s="203"/>
      <c r="N704" s="399"/>
      <c r="O704" s="400"/>
    </row>
    <row r="705" spans="5:15">
      <c r="E705" s="428"/>
      <c r="H705" s="429"/>
      <c r="I705" s="421"/>
      <c r="J705" s="421"/>
      <c r="K705" s="401"/>
      <c r="L705" s="538"/>
      <c r="M705" s="203"/>
      <c r="N705" s="399"/>
      <c r="O705" s="400"/>
    </row>
    <row r="706" spans="5:15">
      <c r="E706" s="428"/>
      <c r="H706" s="429"/>
      <c r="I706" s="421"/>
      <c r="J706" s="421"/>
      <c r="K706" s="401"/>
      <c r="L706" s="538"/>
      <c r="M706" s="203"/>
      <c r="N706" s="399"/>
      <c r="O706" s="400"/>
    </row>
    <row r="707" spans="5:15">
      <c r="E707" s="428"/>
      <c r="H707" s="429"/>
      <c r="I707" s="421"/>
      <c r="J707" s="421"/>
      <c r="K707" s="401"/>
      <c r="L707" s="538"/>
      <c r="M707" s="203"/>
      <c r="N707" s="399"/>
      <c r="O707" s="400"/>
    </row>
    <row r="708" spans="5:15">
      <c r="E708" s="428"/>
      <c r="H708" s="429"/>
      <c r="I708" s="421"/>
      <c r="J708" s="421"/>
      <c r="K708" s="401"/>
      <c r="L708" s="538"/>
      <c r="M708" s="203"/>
      <c r="N708" s="399"/>
      <c r="O708" s="400"/>
    </row>
    <row r="709" spans="5:15">
      <c r="E709" s="428"/>
      <c r="H709" s="429"/>
      <c r="I709" s="421"/>
      <c r="J709" s="421"/>
      <c r="K709" s="401"/>
      <c r="L709" s="538"/>
      <c r="M709" s="203"/>
      <c r="N709" s="399"/>
      <c r="O709" s="400"/>
    </row>
    <row r="710" spans="5:15">
      <c r="E710" s="428"/>
      <c r="H710" s="429"/>
      <c r="I710" s="421"/>
      <c r="J710" s="421"/>
      <c r="K710" s="401"/>
      <c r="L710" s="538"/>
      <c r="M710" s="203"/>
      <c r="N710" s="399"/>
      <c r="O710" s="400"/>
    </row>
    <row r="711" spans="5:15">
      <c r="E711" s="428"/>
      <c r="H711" s="429"/>
      <c r="I711" s="421"/>
      <c r="J711" s="421"/>
      <c r="K711" s="401"/>
      <c r="L711" s="538"/>
      <c r="M711" s="203"/>
      <c r="N711" s="399"/>
      <c r="O711" s="400"/>
    </row>
    <row r="712" spans="5:15">
      <c r="E712" s="428"/>
      <c r="H712" s="429"/>
      <c r="I712" s="421"/>
      <c r="J712" s="421"/>
      <c r="K712" s="401"/>
      <c r="L712" s="538"/>
      <c r="M712" s="203"/>
      <c r="N712" s="399"/>
      <c r="O712" s="400"/>
    </row>
    <row r="713" spans="5:15">
      <c r="E713" s="428"/>
      <c r="H713" s="429"/>
      <c r="I713" s="421"/>
      <c r="J713" s="421"/>
      <c r="K713" s="401"/>
      <c r="L713" s="538"/>
      <c r="M713" s="203"/>
      <c r="N713" s="399"/>
      <c r="O713" s="400"/>
    </row>
    <row r="714" spans="5:15">
      <c r="E714" s="428"/>
      <c r="H714" s="429"/>
      <c r="I714" s="421"/>
      <c r="J714" s="421"/>
      <c r="K714" s="401"/>
      <c r="L714" s="538"/>
      <c r="M714" s="203"/>
      <c r="N714" s="399"/>
      <c r="O714" s="400"/>
    </row>
    <row r="715" spans="5:15">
      <c r="E715" s="428"/>
      <c r="H715" s="429"/>
      <c r="I715" s="421"/>
      <c r="J715" s="421"/>
      <c r="K715" s="401"/>
      <c r="L715" s="538"/>
      <c r="M715" s="203"/>
      <c r="N715" s="399"/>
      <c r="O715" s="400"/>
    </row>
    <row r="716" spans="5:15">
      <c r="E716" s="428"/>
      <c r="H716" s="429"/>
      <c r="I716" s="421"/>
      <c r="J716" s="421"/>
      <c r="K716" s="401"/>
      <c r="L716" s="538"/>
      <c r="M716" s="203"/>
      <c r="N716" s="399"/>
      <c r="O716" s="400"/>
    </row>
    <row r="717" spans="5:15">
      <c r="E717" s="428"/>
      <c r="H717" s="429"/>
      <c r="I717" s="421"/>
      <c r="J717" s="421"/>
      <c r="K717" s="401"/>
      <c r="L717" s="538"/>
      <c r="M717" s="203"/>
      <c r="N717" s="399"/>
      <c r="O717" s="400"/>
    </row>
    <row r="718" spans="5:15">
      <c r="E718" s="428"/>
      <c r="H718" s="429"/>
      <c r="I718" s="421"/>
      <c r="J718" s="421"/>
      <c r="K718" s="401"/>
      <c r="L718" s="538"/>
      <c r="M718" s="203"/>
      <c r="N718" s="399"/>
      <c r="O718" s="400"/>
    </row>
    <row r="719" spans="5:15">
      <c r="E719" s="428"/>
      <c r="H719" s="429"/>
      <c r="I719" s="421"/>
      <c r="J719" s="421"/>
      <c r="K719" s="401"/>
      <c r="L719" s="538"/>
      <c r="M719" s="203"/>
      <c r="N719" s="399"/>
      <c r="O719" s="400"/>
    </row>
    <row r="720" spans="5:15">
      <c r="E720" s="428"/>
      <c r="H720" s="429"/>
      <c r="I720" s="421"/>
      <c r="J720" s="421"/>
      <c r="K720" s="401"/>
      <c r="L720" s="538"/>
      <c r="M720" s="203"/>
      <c r="N720" s="399"/>
      <c r="O720" s="400"/>
    </row>
    <row r="721" spans="5:15">
      <c r="E721" s="428"/>
      <c r="H721" s="429"/>
      <c r="I721" s="421"/>
      <c r="J721" s="421"/>
      <c r="K721" s="401"/>
      <c r="L721" s="538"/>
      <c r="M721" s="203"/>
      <c r="N721" s="399"/>
      <c r="O721" s="400"/>
    </row>
    <row r="722" spans="5:15">
      <c r="E722" s="428"/>
      <c r="H722" s="429"/>
      <c r="I722" s="421"/>
      <c r="J722" s="421"/>
      <c r="K722" s="401"/>
      <c r="L722" s="538"/>
      <c r="M722" s="203"/>
      <c r="N722" s="399"/>
      <c r="O722" s="400"/>
    </row>
    <row r="723" spans="5:15">
      <c r="E723" s="428"/>
      <c r="H723" s="429"/>
      <c r="I723" s="421"/>
      <c r="J723" s="421"/>
      <c r="K723" s="401"/>
      <c r="L723" s="538"/>
      <c r="M723" s="203"/>
      <c r="N723" s="399"/>
      <c r="O723" s="400"/>
    </row>
    <row r="724" spans="5:15">
      <c r="E724" s="428"/>
      <c r="H724" s="429"/>
      <c r="I724" s="421"/>
      <c r="J724" s="421"/>
      <c r="K724" s="401"/>
      <c r="L724" s="538"/>
      <c r="M724" s="203"/>
      <c r="N724" s="399"/>
      <c r="O724" s="400"/>
    </row>
    <row r="725" spans="5:15">
      <c r="E725" s="428"/>
      <c r="H725" s="429"/>
      <c r="I725" s="421"/>
      <c r="J725" s="421"/>
      <c r="K725" s="401"/>
      <c r="L725" s="538"/>
      <c r="M725" s="203"/>
      <c r="N725" s="399"/>
      <c r="O725" s="400"/>
    </row>
    <row r="726" spans="5:15">
      <c r="E726" s="428"/>
      <c r="H726" s="429"/>
      <c r="I726" s="421"/>
      <c r="J726" s="421"/>
      <c r="K726" s="401"/>
      <c r="L726" s="538"/>
      <c r="M726" s="203"/>
      <c r="N726" s="399"/>
      <c r="O726" s="400"/>
    </row>
    <row r="727" spans="5:15">
      <c r="E727" s="428"/>
      <c r="H727" s="429"/>
      <c r="I727" s="421"/>
      <c r="J727" s="421"/>
      <c r="K727" s="401"/>
      <c r="L727" s="538"/>
      <c r="M727" s="203"/>
      <c r="N727" s="399"/>
      <c r="O727" s="400"/>
    </row>
    <row r="728" spans="5:15">
      <c r="E728" s="428"/>
      <c r="H728" s="429"/>
      <c r="I728" s="421"/>
      <c r="J728" s="421"/>
      <c r="K728" s="401"/>
      <c r="L728" s="538"/>
      <c r="M728" s="203"/>
      <c r="N728" s="399"/>
      <c r="O728" s="400"/>
    </row>
    <row r="729" spans="5:15">
      <c r="E729" s="428"/>
      <c r="H729" s="429"/>
      <c r="I729" s="421"/>
      <c r="J729" s="421"/>
      <c r="K729" s="401"/>
      <c r="L729" s="538"/>
      <c r="M729" s="203"/>
      <c r="N729" s="399"/>
      <c r="O729" s="400"/>
    </row>
    <row r="730" spans="5:15">
      <c r="E730" s="428"/>
      <c r="H730" s="429"/>
      <c r="I730" s="421"/>
      <c r="J730" s="421"/>
      <c r="K730" s="401"/>
      <c r="L730" s="538"/>
      <c r="M730" s="203"/>
      <c r="N730" s="399"/>
      <c r="O730" s="400"/>
    </row>
    <row r="731" spans="5:15">
      <c r="E731" s="428"/>
      <c r="H731" s="429"/>
      <c r="I731" s="421"/>
      <c r="J731" s="421"/>
      <c r="K731" s="401"/>
      <c r="L731" s="538"/>
      <c r="M731" s="203"/>
      <c r="N731" s="399"/>
      <c r="O731" s="400"/>
    </row>
    <row r="732" spans="5:15">
      <c r="E732" s="428"/>
      <c r="H732" s="429"/>
      <c r="I732" s="421"/>
      <c r="J732" s="421"/>
      <c r="K732" s="401"/>
      <c r="L732" s="538"/>
      <c r="M732" s="203"/>
      <c r="N732" s="399"/>
      <c r="O732" s="400"/>
    </row>
    <row r="733" spans="5:15">
      <c r="E733" s="428"/>
      <c r="H733" s="429"/>
      <c r="I733" s="421"/>
      <c r="J733" s="421"/>
      <c r="K733" s="401"/>
      <c r="L733" s="538"/>
      <c r="M733" s="203"/>
      <c r="N733" s="399"/>
      <c r="O733" s="400"/>
    </row>
    <row r="734" spans="5:15">
      <c r="E734" s="428"/>
      <c r="H734" s="429"/>
      <c r="I734" s="421"/>
      <c r="J734" s="421"/>
      <c r="K734" s="401"/>
      <c r="L734" s="538"/>
      <c r="M734" s="203"/>
      <c r="N734" s="399"/>
      <c r="O734" s="400"/>
    </row>
    <row r="735" spans="5:15">
      <c r="E735" s="428"/>
      <c r="H735" s="429"/>
      <c r="I735" s="421"/>
      <c r="J735" s="421"/>
      <c r="K735" s="401"/>
      <c r="L735" s="538"/>
      <c r="M735" s="203"/>
      <c r="N735" s="399"/>
      <c r="O735" s="400"/>
    </row>
    <row r="736" spans="5:15">
      <c r="E736" s="428"/>
      <c r="H736" s="429"/>
      <c r="I736" s="421"/>
      <c r="J736" s="421"/>
      <c r="K736" s="401"/>
      <c r="L736" s="538"/>
      <c r="M736" s="203"/>
      <c r="N736" s="399"/>
      <c r="O736" s="400"/>
    </row>
    <row r="737" spans="5:11">
      <c r="E737" s="428"/>
      <c r="H737" s="429"/>
      <c r="I737" s="421"/>
      <c r="J737" s="421"/>
      <c r="K737" s="401"/>
    </row>
    <row r="738" spans="5:11">
      <c r="E738" s="428"/>
      <c r="H738" s="429"/>
      <c r="I738" s="421"/>
      <c r="J738" s="421"/>
      <c r="K738" s="401"/>
    </row>
    <row r="739" spans="5:11">
      <c r="E739" s="428"/>
      <c r="H739" s="429"/>
      <c r="I739" s="421"/>
      <c r="J739" s="421"/>
      <c r="K739" s="401"/>
    </row>
    <row r="740" spans="5:11">
      <c r="E740" s="428"/>
      <c r="H740" s="429"/>
      <c r="I740" s="421"/>
      <c r="J740" s="421"/>
      <c r="K740" s="401"/>
    </row>
    <row r="741" spans="5:11">
      <c r="E741" s="428"/>
      <c r="H741" s="429"/>
      <c r="I741" s="421"/>
      <c r="J741" s="421"/>
      <c r="K741" s="401"/>
    </row>
    <row r="742" spans="5:11">
      <c r="E742" s="428"/>
      <c r="H742" s="429"/>
      <c r="I742" s="421"/>
      <c r="J742" s="421"/>
      <c r="K742" s="401"/>
    </row>
    <row r="743" spans="5:11">
      <c r="E743" s="428"/>
      <c r="H743" s="429"/>
      <c r="I743" s="421"/>
      <c r="J743" s="421"/>
      <c r="K743" s="401"/>
    </row>
    <row r="744" spans="5:11">
      <c r="E744" s="428"/>
      <c r="H744" s="429"/>
      <c r="I744" s="421"/>
      <c r="J744" s="421"/>
      <c r="K744" s="401"/>
    </row>
    <row r="745" spans="5:11">
      <c r="E745" s="428"/>
      <c r="H745" s="429"/>
      <c r="I745" s="421"/>
      <c r="J745" s="421"/>
      <c r="K745" s="401"/>
    </row>
    <row r="746" spans="5:11">
      <c r="E746" s="428"/>
      <c r="H746" s="429"/>
      <c r="I746" s="421"/>
      <c r="J746" s="421"/>
      <c r="K746" s="401"/>
    </row>
    <row r="747" spans="5:11">
      <c r="E747" s="428"/>
      <c r="H747" s="429"/>
      <c r="I747" s="421"/>
      <c r="J747" s="421"/>
      <c r="K747" s="401"/>
    </row>
    <row r="748" spans="5:11">
      <c r="E748" s="428"/>
      <c r="H748" s="429"/>
      <c r="I748" s="421"/>
      <c r="J748" s="421"/>
      <c r="K748" s="401"/>
    </row>
    <row r="749" spans="5:11">
      <c r="E749" s="428"/>
      <c r="H749" s="429"/>
      <c r="I749" s="421"/>
      <c r="J749" s="421"/>
      <c r="K749" s="401"/>
    </row>
    <row r="750" spans="5:11">
      <c r="E750" s="428"/>
      <c r="H750" s="429"/>
      <c r="I750" s="421"/>
      <c r="J750" s="421"/>
      <c r="K750" s="401"/>
    </row>
    <row r="751" spans="5:11">
      <c r="E751" s="428"/>
      <c r="H751" s="429"/>
      <c r="I751" s="421"/>
      <c r="J751" s="421"/>
      <c r="K751" s="401"/>
    </row>
    <row r="752" spans="5:11">
      <c r="E752" s="428"/>
      <c r="H752" s="429"/>
      <c r="I752" s="421"/>
      <c r="J752" s="421"/>
      <c r="K752" s="401"/>
    </row>
    <row r="753" spans="5:11">
      <c r="E753" s="428"/>
      <c r="H753" s="429"/>
      <c r="I753" s="421"/>
      <c r="J753" s="421"/>
      <c r="K753" s="401"/>
    </row>
    <row r="754" spans="5:11">
      <c r="E754" s="428"/>
      <c r="H754" s="429"/>
      <c r="I754" s="421"/>
      <c r="J754" s="421"/>
      <c r="K754" s="401"/>
    </row>
    <row r="755" spans="5:11">
      <c r="E755" s="428"/>
      <c r="H755" s="429"/>
      <c r="I755" s="421"/>
      <c r="J755" s="421"/>
      <c r="K755" s="401"/>
    </row>
    <row r="756" spans="5:11">
      <c r="E756" s="428"/>
      <c r="H756" s="429"/>
      <c r="I756" s="421"/>
      <c r="J756" s="421"/>
      <c r="K756" s="401"/>
    </row>
    <row r="757" spans="5:11">
      <c r="E757" s="428"/>
      <c r="H757" s="429"/>
      <c r="I757" s="421"/>
      <c r="J757" s="421"/>
      <c r="K757" s="401"/>
    </row>
    <row r="758" spans="5:11">
      <c r="E758" s="428"/>
      <c r="H758" s="429"/>
      <c r="I758" s="421"/>
      <c r="J758" s="421"/>
      <c r="K758" s="401"/>
    </row>
    <row r="759" spans="5:11">
      <c r="E759" s="428"/>
      <c r="H759" s="429"/>
      <c r="I759" s="421"/>
      <c r="J759" s="421"/>
      <c r="K759" s="401"/>
    </row>
    <row r="760" spans="5:11">
      <c r="E760" s="428"/>
      <c r="H760" s="429"/>
      <c r="I760" s="421"/>
      <c r="J760" s="421"/>
      <c r="K760" s="401"/>
    </row>
    <row r="761" spans="5:11">
      <c r="E761" s="428"/>
      <c r="H761" s="429"/>
      <c r="I761" s="421"/>
      <c r="J761" s="421"/>
      <c r="K761" s="401"/>
    </row>
    <row r="762" spans="5:11">
      <c r="E762" s="428"/>
      <c r="H762" s="429"/>
      <c r="I762" s="421"/>
      <c r="J762" s="421"/>
      <c r="K762" s="401"/>
    </row>
    <row r="763" spans="5:11">
      <c r="E763" s="428"/>
      <c r="H763" s="429"/>
      <c r="I763" s="421"/>
      <c r="J763" s="421"/>
      <c r="K763" s="401"/>
    </row>
    <row r="764" spans="5:11">
      <c r="E764" s="428"/>
      <c r="H764" s="429"/>
      <c r="I764" s="421"/>
      <c r="J764" s="421"/>
      <c r="K764" s="401"/>
    </row>
    <row r="765" spans="5:11">
      <c r="E765" s="428"/>
      <c r="H765" s="429"/>
      <c r="I765" s="421"/>
      <c r="J765" s="421"/>
      <c r="K765" s="401"/>
    </row>
    <row r="766" spans="5:11">
      <c r="E766" s="428"/>
      <c r="H766" s="429"/>
      <c r="I766" s="421"/>
      <c r="J766" s="421"/>
      <c r="K766" s="401"/>
    </row>
    <row r="767" spans="5:11">
      <c r="E767" s="428"/>
      <c r="H767" s="429"/>
      <c r="I767" s="421"/>
      <c r="J767" s="421"/>
      <c r="K767" s="401"/>
    </row>
    <row r="768" spans="5:11">
      <c r="E768" s="428"/>
      <c r="H768" s="429"/>
      <c r="I768" s="421"/>
      <c r="J768" s="421"/>
      <c r="K768" s="401"/>
    </row>
    <row r="769" spans="5:11">
      <c r="E769" s="428"/>
      <c r="H769" s="429"/>
      <c r="I769" s="421"/>
      <c r="J769" s="421"/>
      <c r="K769" s="401"/>
    </row>
    <row r="770" spans="5:11">
      <c r="E770" s="428"/>
      <c r="H770" s="429"/>
      <c r="I770" s="421"/>
      <c r="J770" s="421"/>
      <c r="K770" s="401"/>
    </row>
    <row r="771" spans="5:11">
      <c r="E771" s="428"/>
      <c r="H771" s="429"/>
      <c r="I771" s="421"/>
      <c r="J771" s="421"/>
      <c r="K771" s="401"/>
    </row>
    <row r="772" spans="5:11">
      <c r="E772" s="428"/>
      <c r="H772" s="429"/>
      <c r="I772" s="421"/>
      <c r="J772" s="421"/>
      <c r="K772" s="401"/>
    </row>
    <row r="773" spans="5:11">
      <c r="E773" s="428"/>
      <c r="H773" s="429"/>
      <c r="I773" s="421"/>
      <c r="J773" s="421"/>
      <c r="K773" s="401"/>
    </row>
    <row r="774" spans="5:11">
      <c r="E774" s="428"/>
      <c r="H774" s="429"/>
      <c r="I774" s="421"/>
      <c r="J774" s="421"/>
      <c r="K774" s="401"/>
    </row>
    <row r="775" spans="5:11">
      <c r="E775" s="428"/>
      <c r="H775" s="429"/>
      <c r="I775" s="421"/>
      <c r="J775" s="421"/>
      <c r="K775" s="401"/>
    </row>
    <row r="776" spans="5:11">
      <c r="E776" s="428"/>
      <c r="H776" s="429"/>
      <c r="I776" s="421"/>
      <c r="J776" s="421"/>
      <c r="K776" s="401"/>
    </row>
    <row r="777" spans="5:11">
      <c r="E777" s="428"/>
      <c r="H777" s="429"/>
      <c r="I777" s="421"/>
      <c r="J777" s="421"/>
      <c r="K777" s="401"/>
    </row>
    <row r="778" spans="5:11">
      <c r="E778" s="428"/>
      <c r="H778" s="429"/>
      <c r="I778" s="421"/>
      <c r="J778" s="421"/>
      <c r="K778" s="401"/>
    </row>
    <row r="779" spans="5:11">
      <c r="E779" s="428"/>
      <c r="H779" s="429"/>
      <c r="I779" s="421"/>
      <c r="J779" s="421"/>
      <c r="K779" s="401"/>
    </row>
    <row r="780" spans="5:11">
      <c r="E780" s="428"/>
      <c r="H780" s="429"/>
      <c r="I780" s="421"/>
      <c r="J780" s="421"/>
      <c r="K780" s="401"/>
    </row>
    <row r="781" spans="5:11">
      <c r="E781" s="428"/>
      <c r="H781" s="429"/>
      <c r="I781" s="421"/>
      <c r="J781" s="421"/>
      <c r="K781" s="401"/>
    </row>
    <row r="782" spans="5:11">
      <c r="E782" s="428"/>
      <c r="H782" s="429"/>
      <c r="I782" s="421"/>
      <c r="J782" s="421"/>
      <c r="K782" s="401"/>
    </row>
    <row r="783" spans="5:11">
      <c r="E783" s="428"/>
      <c r="H783" s="429"/>
      <c r="I783" s="421"/>
      <c r="J783" s="421"/>
      <c r="K783" s="401"/>
    </row>
    <row r="784" spans="5:11">
      <c r="E784" s="428"/>
      <c r="H784" s="429"/>
      <c r="I784" s="421"/>
      <c r="J784" s="421"/>
      <c r="K784" s="401"/>
    </row>
    <row r="785" spans="5:11">
      <c r="E785" s="428"/>
      <c r="H785" s="429"/>
      <c r="I785" s="421"/>
      <c r="J785" s="421"/>
      <c r="K785" s="401"/>
    </row>
    <row r="786" spans="5:11">
      <c r="E786" s="428"/>
      <c r="H786" s="429"/>
      <c r="I786" s="421"/>
      <c r="J786" s="421"/>
      <c r="K786" s="401"/>
    </row>
    <row r="787" spans="5:11">
      <c r="E787" s="428"/>
      <c r="H787" s="429"/>
      <c r="I787" s="421"/>
      <c r="J787" s="421"/>
      <c r="K787" s="401"/>
    </row>
    <row r="788" spans="5:11">
      <c r="E788" s="428"/>
      <c r="H788" s="429"/>
      <c r="I788" s="421"/>
      <c r="J788" s="421"/>
      <c r="K788" s="401"/>
    </row>
    <row r="789" spans="5:11">
      <c r="E789" s="428"/>
      <c r="H789" s="429"/>
      <c r="I789" s="421"/>
      <c r="J789" s="421"/>
      <c r="K789" s="401"/>
    </row>
    <row r="790" spans="5:11">
      <c r="E790" s="428"/>
      <c r="H790" s="429"/>
      <c r="I790" s="421"/>
      <c r="J790" s="421"/>
      <c r="K790" s="401"/>
    </row>
    <row r="791" spans="5:11">
      <c r="E791" s="428"/>
      <c r="H791" s="429"/>
      <c r="I791" s="421"/>
      <c r="J791" s="421"/>
      <c r="K791" s="401"/>
    </row>
    <row r="792" spans="5:11">
      <c r="E792" s="428"/>
      <c r="H792" s="429"/>
      <c r="I792" s="421"/>
      <c r="J792" s="421"/>
      <c r="K792" s="401"/>
    </row>
    <row r="793" spans="5:11">
      <c r="E793" s="428"/>
      <c r="H793" s="429"/>
      <c r="I793" s="421"/>
      <c r="J793" s="421"/>
      <c r="K793" s="401"/>
    </row>
    <row r="794" spans="5:11">
      <c r="E794" s="428"/>
      <c r="H794" s="429"/>
      <c r="I794" s="421"/>
      <c r="J794" s="421"/>
      <c r="K794" s="401"/>
    </row>
    <row r="795" spans="5:11">
      <c r="E795" s="428"/>
      <c r="H795" s="429"/>
      <c r="I795" s="421"/>
      <c r="J795" s="421"/>
      <c r="K795" s="401"/>
    </row>
    <row r="796" spans="5:11">
      <c r="E796" s="428"/>
      <c r="H796" s="429"/>
      <c r="I796" s="421"/>
      <c r="J796" s="421"/>
      <c r="K796" s="401"/>
    </row>
    <row r="797" spans="5:11">
      <c r="E797" s="428"/>
      <c r="H797" s="429"/>
      <c r="I797" s="421"/>
      <c r="J797" s="421"/>
      <c r="K797" s="401"/>
    </row>
    <row r="798" spans="5:11">
      <c r="E798" s="428"/>
      <c r="H798" s="429"/>
      <c r="I798" s="421"/>
      <c r="J798" s="421"/>
      <c r="K798" s="401"/>
    </row>
    <row r="799" spans="5:11">
      <c r="E799" s="428"/>
      <c r="H799" s="429"/>
      <c r="I799" s="421"/>
      <c r="J799" s="421"/>
      <c r="K799" s="401"/>
    </row>
    <row r="800" spans="5:11">
      <c r="E800" s="428"/>
      <c r="H800" s="429"/>
      <c r="I800" s="421"/>
      <c r="J800" s="421"/>
      <c r="K800" s="401"/>
    </row>
    <row r="801" spans="5:11">
      <c r="E801" s="428"/>
      <c r="H801" s="429"/>
      <c r="I801" s="421"/>
      <c r="J801" s="421"/>
      <c r="K801" s="401"/>
    </row>
    <row r="802" spans="5:11">
      <c r="E802" s="428"/>
      <c r="H802" s="429"/>
      <c r="I802" s="421"/>
      <c r="J802" s="421"/>
      <c r="K802" s="401"/>
    </row>
    <row r="803" spans="5:11">
      <c r="E803" s="428"/>
      <c r="H803" s="429"/>
      <c r="I803" s="421"/>
      <c r="J803" s="421"/>
      <c r="K803" s="401"/>
    </row>
    <row r="804" spans="5:11">
      <c r="E804" s="428"/>
      <c r="H804" s="429"/>
      <c r="I804" s="421"/>
      <c r="J804" s="421"/>
      <c r="K804" s="401"/>
    </row>
    <row r="805" spans="5:11">
      <c r="E805" s="428"/>
      <c r="H805" s="429"/>
      <c r="I805" s="421"/>
      <c r="J805" s="421"/>
      <c r="K805" s="401"/>
    </row>
    <row r="806" spans="5:11">
      <c r="E806" s="428"/>
      <c r="H806" s="429"/>
      <c r="I806" s="421"/>
      <c r="J806" s="421"/>
      <c r="K806" s="401"/>
    </row>
    <row r="807" spans="5:11">
      <c r="E807" s="428"/>
      <c r="H807" s="429"/>
      <c r="I807" s="421"/>
      <c r="J807" s="421"/>
      <c r="K807" s="401"/>
    </row>
    <row r="808" spans="5:11">
      <c r="E808" s="428"/>
      <c r="H808" s="429"/>
      <c r="I808" s="421"/>
      <c r="J808" s="421"/>
      <c r="K808" s="401"/>
    </row>
    <row r="809" spans="5:11">
      <c r="E809" s="428"/>
      <c r="H809" s="429"/>
      <c r="I809" s="421"/>
      <c r="J809" s="421"/>
      <c r="K809" s="401"/>
    </row>
    <row r="810" spans="5:11">
      <c r="E810" s="428"/>
      <c r="H810" s="429"/>
      <c r="I810" s="421"/>
      <c r="J810" s="421"/>
      <c r="K810" s="401"/>
    </row>
    <row r="811" spans="5:11">
      <c r="E811" s="428"/>
      <c r="H811" s="429"/>
      <c r="I811" s="421"/>
      <c r="J811" s="421"/>
      <c r="K811" s="401"/>
    </row>
    <row r="812" spans="5:11">
      <c r="E812" s="428"/>
      <c r="H812" s="429"/>
      <c r="I812" s="421"/>
      <c r="J812" s="421"/>
      <c r="K812" s="401"/>
    </row>
    <row r="813" spans="5:11">
      <c r="E813" s="428"/>
      <c r="H813" s="429"/>
      <c r="I813" s="421"/>
      <c r="J813" s="421"/>
      <c r="K813" s="401"/>
    </row>
    <row r="814" spans="5:11">
      <c r="E814" s="428"/>
      <c r="H814" s="429"/>
      <c r="I814" s="421"/>
      <c r="J814" s="421"/>
      <c r="K814" s="401"/>
    </row>
    <row r="815" spans="5:11">
      <c r="E815" s="428"/>
      <c r="H815" s="429"/>
      <c r="I815" s="421"/>
      <c r="J815" s="421"/>
      <c r="K815" s="401"/>
    </row>
    <row r="816" spans="5:11">
      <c r="E816" s="428"/>
      <c r="H816" s="429"/>
      <c r="I816" s="421"/>
      <c r="J816" s="421"/>
      <c r="K816" s="401"/>
    </row>
    <row r="817" spans="5:11">
      <c r="E817" s="428"/>
      <c r="H817" s="429"/>
      <c r="I817" s="421"/>
      <c r="J817" s="421"/>
      <c r="K817" s="401"/>
    </row>
    <row r="818" spans="5:11">
      <c r="E818" s="428"/>
      <c r="H818" s="429"/>
      <c r="I818" s="421"/>
      <c r="J818" s="421"/>
      <c r="K818" s="401"/>
    </row>
    <row r="819" spans="5:11">
      <c r="E819" s="428"/>
      <c r="H819" s="429"/>
      <c r="I819" s="421"/>
      <c r="J819" s="421"/>
      <c r="K819" s="401"/>
    </row>
    <row r="820" spans="5:11">
      <c r="E820" s="428"/>
      <c r="H820" s="429"/>
      <c r="I820" s="421"/>
      <c r="J820" s="421"/>
      <c r="K820" s="401"/>
    </row>
    <row r="821" spans="5:11">
      <c r="E821" s="428"/>
      <c r="H821" s="429"/>
      <c r="I821" s="421"/>
      <c r="J821" s="421"/>
      <c r="K821" s="401"/>
    </row>
    <row r="822" spans="5:11">
      <c r="E822" s="428"/>
      <c r="H822" s="429"/>
      <c r="I822" s="421"/>
      <c r="J822" s="421"/>
      <c r="K822" s="401"/>
    </row>
    <row r="823" spans="5:11">
      <c r="E823" s="428"/>
      <c r="H823" s="429"/>
      <c r="I823" s="421"/>
      <c r="J823" s="421"/>
      <c r="K823" s="401"/>
    </row>
    <row r="824" spans="5:11">
      <c r="E824" s="428"/>
      <c r="H824" s="429"/>
      <c r="I824" s="421"/>
      <c r="J824" s="421"/>
      <c r="K824" s="401"/>
    </row>
    <row r="825" spans="5:11">
      <c r="E825" s="428"/>
      <c r="H825" s="429"/>
      <c r="I825" s="421"/>
      <c r="J825" s="421"/>
      <c r="K825" s="401"/>
    </row>
    <row r="826" spans="5:11">
      <c r="E826" s="428"/>
      <c r="H826" s="429"/>
      <c r="I826" s="421"/>
      <c r="J826" s="421"/>
      <c r="K826" s="401"/>
    </row>
    <row r="827" spans="5:11">
      <c r="E827" s="428"/>
      <c r="H827" s="429"/>
      <c r="I827" s="421"/>
      <c r="J827" s="421"/>
      <c r="K827" s="401"/>
    </row>
    <row r="828" spans="5:11">
      <c r="E828" s="428"/>
      <c r="H828" s="429"/>
      <c r="I828" s="421"/>
      <c r="J828" s="421"/>
      <c r="K828" s="401"/>
    </row>
    <row r="829" spans="5:11">
      <c r="E829" s="428"/>
      <c r="H829" s="429"/>
      <c r="I829" s="421"/>
      <c r="J829" s="421"/>
      <c r="K829" s="401"/>
    </row>
    <row r="830" spans="5:11">
      <c r="E830" s="428"/>
      <c r="H830" s="429"/>
      <c r="I830" s="421"/>
      <c r="J830" s="421"/>
      <c r="K830" s="401"/>
    </row>
    <row r="831" spans="5:11">
      <c r="E831" s="428"/>
      <c r="H831" s="429"/>
      <c r="I831" s="421"/>
      <c r="J831" s="421"/>
      <c r="K831" s="401"/>
    </row>
    <row r="832" spans="5:11">
      <c r="E832" s="428"/>
      <c r="H832" s="429"/>
      <c r="I832" s="421"/>
      <c r="J832" s="421"/>
      <c r="K832" s="401"/>
    </row>
    <row r="833" spans="5:11">
      <c r="E833" s="428"/>
      <c r="H833" s="429"/>
      <c r="I833" s="421"/>
      <c r="J833" s="421"/>
      <c r="K833" s="401"/>
    </row>
    <row r="834" spans="5:11">
      <c r="E834" s="428"/>
      <c r="H834" s="429"/>
      <c r="I834" s="421"/>
      <c r="J834" s="421"/>
      <c r="K834" s="401"/>
    </row>
    <row r="835" spans="5:11">
      <c r="E835" s="428"/>
      <c r="H835" s="429"/>
      <c r="I835" s="421"/>
      <c r="J835" s="421"/>
      <c r="K835" s="401"/>
    </row>
    <row r="836" spans="5:11">
      <c r="E836" s="428"/>
      <c r="H836" s="429"/>
      <c r="I836" s="421"/>
      <c r="J836" s="421"/>
      <c r="K836" s="401"/>
    </row>
    <row r="837" spans="5:11">
      <c r="E837" s="428"/>
      <c r="H837" s="429"/>
      <c r="I837" s="421"/>
      <c r="J837" s="421"/>
      <c r="K837" s="401"/>
    </row>
    <row r="838" spans="5:11">
      <c r="E838" s="428"/>
      <c r="H838" s="429"/>
      <c r="I838" s="421"/>
      <c r="J838" s="421"/>
      <c r="K838" s="401"/>
    </row>
    <row r="839" spans="5:11">
      <c r="E839" s="428"/>
      <c r="H839" s="429"/>
      <c r="I839" s="421"/>
      <c r="J839" s="421"/>
      <c r="K839" s="401"/>
    </row>
    <row r="840" spans="5:11">
      <c r="E840" s="428"/>
      <c r="H840" s="429"/>
      <c r="I840" s="421"/>
      <c r="J840" s="421"/>
      <c r="K840" s="401"/>
    </row>
    <row r="841" spans="5:11">
      <c r="E841" s="428"/>
      <c r="H841" s="429"/>
      <c r="I841" s="421"/>
      <c r="J841" s="421"/>
      <c r="K841" s="401"/>
    </row>
    <row r="842" spans="5:11">
      <c r="E842" s="428"/>
      <c r="H842" s="429"/>
      <c r="I842" s="421"/>
      <c r="J842" s="421"/>
      <c r="K842" s="401"/>
    </row>
    <row r="843" spans="5:11">
      <c r="E843" s="428"/>
      <c r="H843" s="429"/>
      <c r="I843" s="421"/>
      <c r="J843" s="421"/>
      <c r="K843" s="401"/>
    </row>
    <row r="844" spans="5:11">
      <c r="E844" s="428"/>
      <c r="H844" s="429"/>
      <c r="I844" s="421"/>
      <c r="J844" s="421"/>
      <c r="K844" s="401"/>
    </row>
    <row r="845" spans="5:11">
      <c r="E845" s="428"/>
      <c r="H845" s="429"/>
      <c r="I845" s="421"/>
      <c r="J845" s="421"/>
      <c r="K845" s="401"/>
    </row>
    <row r="846" spans="5:11">
      <c r="E846" s="428"/>
      <c r="H846" s="429"/>
      <c r="I846" s="421"/>
      <c r="J846" s="421"/>
      <c r="K846" s="401"/>
    </row>
    <row r="847" spans="5:11">
      <c r="E847" s="428"/>
      <c r="H847" s="429"/>
      <c r="I847" s="421"/>
      <c r="J847" s="421"/>
      <c r="K847" s="401"/>
    </row>
    <row r="848" spans="5:11">
      <c r="E848" s="428"/>
      <c r="H848" s="429"/>
      <c r="I848" s="421"/>
      <c r="J848" s="421"/>
      <c r="K848" s="401"/>
    </row>
    <row r="849" spans="5:11">
      <c r="E849" s="428"/>
      <c r="H849" s="429"/>
      <c r="I849" s="421"/>
      <c r="J849" s="421"/>
      <c r="K849" s="401"/>
    </row>
    <row r="850" spans="5:11">
      <c r="E850" s="428"/>
      <c r="H850" s="429"/>
      <c r="I850" s="421"/>
      <c r="J850" s="421"/>
      <c r="K850" s="401"/>
    </row>
    <row r="851" spans="5:11">
      <c r="E851" s="428"/>
      <c r="H851" s="429"/>
      <c r="I851" s="421"/>
      <c r="J851" s="421"/>
      <c r="K851" s="401"/>
    </row>
    <row r="852" spans="5:11">
      <c r="E852" s="428"/>
      <c r="H852" s="429"/>
      <c r="I852" s="421"/>
      <c r="J852" s="421"/>
      <c r="K852" s="401"/>
    </row>
    <row r="853" spans="5:11">
      <c r="E853" s="428"/>
      <c r="H853" s="429"/>
      <c r="I853" s="421"/>
      <c r="J853" s="421"/>
      <c r="K853" s="401"/>
    </row>
    <row r="854" spans="5:11">
      <c r="E854" s="428"/>
      <c r="H854" s="429"/>
      <c r="I854" s="421"/>
      <c r="J854" s="421"/>
      <c r="K854" s="401"/>
    </row>
    <row r="855" spans="5:11">
      <c r="E855" s="428"/>
      <c r="H855" s="429"/>
      <c r="I855" s="421"/>
      <c r="J855" s="421"/>
      <c r="K855" s="401"/>
    </row>
    <row r="856" spans="5:11">
      <c r="E856" s="428"/>
      <c r="H856" s="429"/>
      <c r="I856" s="421"/>
      <c r="J856" s="421"/>
      <c r="K856" s="401"/>
    </row>
    <row r="857" spans="5:11">
      <c r="E857" s="428"/>
      <c r="H857" s="429"/>
      <c r="I857" s="421"/>
      <c r="J857" s="421"/>
      <c r="K857" s="401"/>
    </row>
    <row r="858" spans="5:11">
      <c r="E858" s="428"/>
      <c r="H858" s="429"/>
      <c r="I858" s="421"/>
      <c r="J858" s="421"/>
      <c r="K858" s="401"/>
    </row>
    <row r="859" spans="5:11">
      <c r="E859" s="428"/>
      <c r="H859" s="429"/>
      <c r="I859" s="421"/>
      <c r="J859" s="421"/>
      <c r="K859" s="401"/>
    </row>
    <row r="860" spans="5:11">
      <c r="E860" s="428"/>
      <c r="H860" s="429"/>
      <c r="I860" s="421"/>
      <c r="J860" s="421"/>
      <c r="K860" s="401"/>
    </row>
    <row r="861" spans="5:11">
      <c r="E861" s="428"/>
      <c r="H861" s="429"/>
      <c r="I861" s="421"/>
      <c r="J861" s="421"/>
      <c r="K861" s="401"/>
    </row>
    <row r="862" spans="5:11">
      <c r="E862" s="428"/>
      <c r="H862" s="429"/>
      <c r="I862" s="421"/>
      <c r="J862" s="421"/>
      <c r="K862" s="401"/>
    </row>
    <row r="863" spans="5:11">
      <c r="E863" s="428"/>
      <c r="H863" s="429"/>
      <c r="I863" s="421"/>
      <c r="J863" s="421"/>
      <c r="K863" s="401"/>
    </row>
    <row r="864" spans="5:11">
      <c r="E864" s="428"/>
      <c r="H864" s="429"/>
      <c r="I864" s="421"/>
      <c r="J864" s="421"/>
      <c r="K864" s="401"/>
    </row>
    <row r="865" spans="5:11">
      <c r="E865" s="428"/>
      <c r="H865" s="429"/>
      <c r="I865" s="421"/>
      <c r="J865" s="421"/>
      <c r="K865" s="401"/>
    </row>
    <row r="866" spans="5:11">
      <c r="E866" s="428"/>
      <c r="H866" s="429"/>
      <c r="I866" s="421"/>
      <c r="J866" s="421"/>
      <c r="K866" s="401"/>
    </row>
    <row r="867" spans="5:11">
      <c r="E867" s="428"/>
      <c r="H867" s="429"/>
      <c r="I867" s="421"/>
      <c r="J867" s="421"/>
      <c r="K867" s="401"/>
    </row>
    <row r="868" spans="5:11">
      <c r="E868" s="428"/>
      <c r="H868" s="429"/>
      <c r="I868" s="421"/>
      <c r="J868" s="421"/>
      <c r="K868" s="401"/>
    </row>
    <row r="869" spans="5:11">
      <c r="E869" s="428"/>
      <c r="H869" s="429"/>
      <c r="I869" s="421"/>
      <c r="J869" s="421"/>
      <c r="K869" s="401"/>
    </row>
    <row r="870" spans="5:11">
      <c r="E870" s="428"/>
      <c r="H870" s="429"/>
      <c r="I870" s="421"/>
      <c r="J870" s="421"/>
      <c r="K870" s="401"/>
    </row>
    <row r="871" spans="5:11">
      <c r="E871" s="428"/>
      <c r="H871" s="429"/>
      <c r="I871" s="421"/>
      <c r="J871" s="421"/>
      <c r="K871" s="401"/>
    </row>
    <row r="872" spans="5:11">
      <c r="E872" s="428"/>
      <c r="H872" s="429"/>
      <c r="I872" s="421"/>
      <c r="J872" s="421"/>
      <c r="K872" s="401"/>
    </row>
    <row r="873" spans="5:11">
      <c r="E873" s="428"/>
      <c r="H873" s="429"/>
      <c r="I873" s="421"/>
      <c r="J873" s="421"/>
      <c r="K873" s="401"/>
    </row>
    <row r="874" spans="5:11">
      <c r="E874" s="428"/>
      <c r="H874" s="429"/>
      <c r="I874" s="421"/>
      <c r="J874" s="421"/>
      <c r="K874" s="401"/>
    </row>
    <row r="875" spans="5:11">
      <c r="E875" s="428"/>
      <c r="H875" s="429"/>
      <c r="I875" s="421"/>
      <c r="J875" s="421"/>
      <c r="K875" s="401"/>
    </row>
    <row r="876" spans="5:11">
      <c r="E876" s="428"/>
      <c r="H876" s="429"/>
      <c r="I876" s="421"/>
      <c r="J876" s="421"/>
      <c r="K876" s="401"/>
    </row>
    <row r="877" spans="5:11">
      <c r="E877" s="428"/>
      <c r="H877" s="429"/>
      <c r="I877" s="421"/>
      <c r="J877" s="421"/>
      <c r="K877" s="401"/>
    </row>
    <row r="878" spans="5:11">
      <c r="E878" s="428"/>
      <c r="H878" s="429"/>
      <c r="I878" s="421"/>
      <c r="J878" s="421"/>
      <c r="K878" s="401"/>
    </row>
    <row r="879" spans="5:11">
      <c r="E879" s="428"/>
      <c r="H879" s="429"/>
      <c r="I879" s="421"/>
      <c r="J879" s="421"/>
      <c r="K879" s="401"/>
    </row>
    <row r="880" spans="5:11">
      <c r="E880" s="428"/>
      <c r="H880" s="429"/>
      <c r="I880" s="421"/>
      <c r="J880" s="421"/>
      <c r="K880" s="401"/>
    </row>
    <row r="881" spans="5:11">
      <c r="E881" s="428"/>
      <c r="H881" s="429"/>
      <c r="I881" s="421"/>
      <c r="J881" s="421"/>
      <c r="K881" s="401"/>
    </row>
    <row r="882" spans="5:11">
      <c r="E882" s="428"/>
      <c r="H882" s="429"/>
      <c r="I882" s="421"/>
      <c r="J882" s="421"/>
      <c r="K882" s="401"/>
    </row>
    <row r="883" spans="5:11">
      <c r="E883" s="428"/>
      <c r="H883" s="429"/>
      <c r="I883" s="421"/>
      <c r="J883" s="421"/>
      <c r="K883" s="401"/>
    </row>
    <row r="884" spans="5:11">
      <c r="E884" s="428"/>
      <c r="H884" s="429"/>
      <c r="I884" s="421"/>
      <c r="J884" s="421"/>
      <c r="K884" s="401"/>
    </row>
    <row r="885" spans="5:11">
      <c r="E885" s="428"/>
      <c r="H885" s="429"/>
      <c r="I885" s="421"/>
      <c r="J885" s="421"/>
      <c r="K885" s="401"/>
    </row>
    <row r="886" spans="5:11">
      <c r="E886" s="428"/>
      <c r="H886" s="429"/>
      <c r="I886" s="421"/>
      <c r="J886" s="421"/>
      <c r="K886" s="401"/>
    </row>
    <row r="887" spans="5:11">
      <c r="E887" s="428"/>
      <c r="H887" s="429"/>
      <c r="I887" s="421"/>
      <c r="J887" s="421"/>
      <c r="K887" s="401"/>
    </row>
    <row r="888" spans="5:11">
      <c r="E888" s="428"/>
      <c r="H888" s="429"/>
      <c r="I888" s="421"/>
      <c r="J888" s="421"/>
      <c r="K888" s="401"/>
    </row>
    <row r="889" spans="5:11">
      <c r="E889" s="428"/>
      <c r="H889" s="429"/>
      <c r="I889" s="421"/>
      <c r="J889" s="421"/>
      <c r="K889" s="401"/>
    </row>
  </sheetData>
  <sheetProtection selectLockedCells="1"/>
  <mergeCells count="7">
    <mergeCell ref="A136:K136"/>
    <mergeCell ref="A127:I127"/>
    <mergeCell ref="J127:K127"/>
    <mergeCell ref="A8:K8"/>
    <mergeCell ref="A133:K133"/>
    <mergeCell ref="A135:K135"/>
    <mergeCell ref="A134:K134"/>
  </mergeCells>
  <phoneticPr fontId="45" type="noConversion"/>
  <dataValidations xWindow="875" yWindow="393" count="2">
    <dataValidation allowBlank="1" showInputMessage="1" showErrorMessage="1" prompt="PLACA GOV FED. 5,625M² +  PLACA DA CONSTRUTORA 2,25M²" sqref="F11:G11 F12:F16"/>
    <dataValidation type="list" allowBlank="1" showInputMessage="1" showErrorMessage="1" sqref="M8">
      <formula1>#REF!</formula1>
    </dataValidation>
  </dataValidations>
  <printOptions horizontalCentered="1"/>
  <pageMargins left="0.23622047244094491" right="0.23622047244094491" top="0.19685039370078741" bottom="0.23622047244094491" header="0.31496062992125984" footer="0.11811023622047245"/>
  <pageSetup paperSize="9" scale="74" fitToHeight="0" orientation="landscape" r:id="rId1"/>
  <headerFooter>
    <oddFooter>&amp;C&amp;"Cambria,Regular"Página &amp;P de &amp;N</oddFooter>
  </headerFooter>
  <ignoredErrors>
    <ignoredError sqref="A1:A4 A128:A129 R18:XFD18 C27:E27 A8:A11 C20:E21 O18:P18 C16 A127 G64:H64 A64 C1:L1 C8:K10 C17:I17 C127:I127 Q8:XFD8 C66 G69:H69 C69:E69 G100:I100 C100:E100 C107:E107 A107 G107:H107 C137:K1048576 A17:A18 C57:E57 O20:XFD21 O16:XFD17 G11:G12 L27 C128:I129 K129 N1:XFD7 C130:K131 C18:H18 N98:XFD100 E66 L9:L10 N9:XFD12 G20:K21 A131 N27:XFD27 G27:J27 N59:XFD59 A137:A1048576 L98:L100 N57:XFD57 G57:L57 K100 C64:E64 O66:XFD66 G66:L66 L72 N72:XFD72 L59 L107:L111 Q110:XFD111 C12 N103:XFD104 L103:L104 C5:L7 C2:D4 F2:L4 L113 N113:XFD113 A7 N115:XFD1048576 L115:L1048576 Q107:XFD107 Q108:XFD108 Q109:XFD109 L12" unlockedFormula="1"/>
  </ignoredErrors>
  <drawing r:id="rId2"/>
  <extLst>
    <ext xmlns:x14="http://schemas.microsoft.com/office/spreadsheetml/2009/9/main" uri="{CCE6A557-97BC-4b89-ADB6-D9C93CAAB3DF}">
      <x14:dataValidations xmlns:xm="http://schemas.microsoft.com/office/excel/2006/main" xWindow="875" yWindow="393" count="2">
        <x14:dataValidation type="list" allowBlank="1" showInputMessage="1" showErrorMessage="1">
          <x14:formula1>
            <xm:f>referencia!$A$14:$A$19</xm:f>
          </x14:formula1>
          <xm:sqref>B49:B54 B11:B16 B42:B45 B22:B24 B58:B63 B28:B38</xm:sqref>
        </x14:dataValidation>
        <x14:dataValidation type="list" allowBlank="1" showInputMessage="1" showErrorMessage="1">
          <x14:formula1>
            <xm:f>referencia!$A$14:$A$20</xm:f>
          </x14:formula1>
          <xm:sqref>B118:B119 B123:B124 B73:B85 B111:B114 B101:B106 B67:B68 B89:B97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8"/>
  <sheetViews>
    <sheetView zoomScale="145" zoomScaleNormal="145" zoomScaleSheetLayoutView="100" workbookViewId="0">
      <selection activeCell="C36" sqref="A36:E39"/>
    </sheetView>
  </sheetViews>
  <sheetFormatPr defaultColWidth="14.42578125" defaultRowHeight="12.75"/>
  <cols>
    <col min="1" max="1" width="13.42578125" style="815" customWidth="1"/>
    <col min="2" max="2" width="16.42578125" style="815" hidden="1" customWidth="1"/>
    <col min="3" max="3" width="51.85546875" style="815" customWidth="1"/>
    <col min="4" max="4" width="32" style="815" customWidth="1"/>
    <col min="5" max="5" width="32.5703125" style="815" customWidth="1"/>
    <col min="6" max="6" width="14.28515625" style="815" customWidth="1"/>
    <col min="7" max="7" width="30.5703125" style="815" customWidth="1"/>
    <col min="8" max="8" width="11.140625" style="815" customWidth="1"/>
    <col min="9" max="9" width="24.7109375" style="815" customWidth="1"/>
    <col min="10" max="20" width="8" style="815" customWidth="1"/>
    <col min="21" max="16384" width="14.42578125" style="815"/>
  </cols>
  <sheetData>
    <row r="1" spans="1:20" ht="15.75">
      <c r="A1" s="945"/>
      <c r="B1" s="946"/>
      <c r="C1" s="946"/>
      <c r="D1" s="946"/>
      <c r="E1" s="947"/>
    </row>
    <row r="2" spans="1:20" ht="15.75">
      <c r="A2" s="948"/>
      <c r="B2" s="949"/>
      <c r="C2" s="949"/>
      <c r="D2" s="879" t="s">
        <v>398</v>
      </c>
      <c r="E2" s="816"/>
      <c r="F2" s="817"/>
    </row>
    <row r="3" spans="1:20" ht="15.75">
      <c r="A3" s="818" t="str">
        <f>PLANILHA!A2</f>
        <v>PREFEITURA MUNICIPAL DE NAVIRAÍ</v>
      </c>
      <c r="B3" s="880"/>
      <c r="C3" s="881"/>
      <c r="D3" s="879" t="s">
        <v>359</v>
      </c>
      <c r="E3" s="816"/>
    </row>
    <row r="4" spans="1:20" ht="14.25">
      <c r="A4" s="819" t="str">
        <f>PLANILHA!A3</f>
        <v>PROJETO: REFORMA CRECHE EVA MORAES DE OLIVEIRA</v>
      </c>
      <c r="B4" s="880"/>
      <c r="C4" s="881"/>
      <c r="D4" s="882" t="s">
        <v>355</v>
      </c>
      <c r="E4" s="820"/>
      <c r="F4" s="817"/>
    </row>
    <row r="5" spans="1:20" ht="14.25">
      <c r="A5" s="821" t="str">
        <f>PLANILHA!A4</f>
        <v>LOCAL: AV. PONTA PORÃ, 858 - NAVIRAÍ</v>
      </c>
      <c r="B5" s="883"/>
      <c r="C5" s="884"/>
      <c r="D5" s="882" t="s">
        <v>490</v>
      </c>
      <c r="E5" s="820"/>
      <c r="F5" s="822"/>
      <c r="G5" s="822"/>
      <c r="H5" s="822"/>
      <c r="I5" s="822"/>
      <c r="J5" s="822"/>
      <c r="K5" s="822"/>
      <c r="L5" s="822"/>
      <c r="M5" s="822"/>
      <c r="N5" s="822"/>
      <c r="O5" s="822"/>
      <c r="P5" s="822"/>
      <c r="Q5" s="822"/>
      <c r="R5" s="822"/>
      <c r="S5" s="822"/>
      <c r="T5" s="822"/>
    </row>
    <row r="6" spans="1:20" ht="14.25">
      <c r="A6" s="823" t="str">
        <f>PLANILHA!A5</f>
        <v>ENCARGOS SOCIAIS DESONERADOS: 83,00%(HORA) 46,50%(MÊS)</v>
      </c>
      <c r="B6" s="885"/>
      <c r="C6" s="884"/>
      <c r="D6" s="881"/>
      <c r="E6" s="824"/>
      <c r="F6" s="822"/>
      <c r="G6" s="822"/>
      <c r="H6" s="822"/>
      <c r="I6" s="822"/>
      <c r="J6" s="822"/>
      <c r="K6" s="822"/>
      <c r="L6" s="822"/>
      <c r="M6" s="822"/>
      <c r="N6" s="822"/>
      <c r="O6" s="822"/>
      <c r="P6" s="822"/>
      <c r="Q6" s="822"/>
      <c r="R6" s="822"/>
      <c r="S6" s="822"/>
      <c r="T6" s="822"/>
    </row>
    <row r="7" spans="1:20" ht="14.25">
      <c r="A7" s="823"/>
      <c r="B7" s="881"/>
      <c r="C7" s="881"/>
      <c r="D7" s="881"/>
      <c r="E7" s="816"/>
      <c r="F7" s="822"/>
      <c r="G7" s="822"/>
      <c r="H7" s="822"/>
      <c r="I7" s="822"/>
      <c r="J7" s="822"/>
      <c r="K7" s="822"/>
      <c r="L7" s="822"/>
      <c r="M7" s="822"/>
      <c r="N7" s="822"/>
      <c r="O7" s="822"/>
      <c r="P7" s="822"/>
      <c r="Q7" s="822"/>
      <c r="R7" s="822"/>
      <c r="S7" s="822"/>
      <c r="T7" s="822"/>
    </row>
    <row r="8" spans="1:20" ht="14.25">
      <c r="A8" s="823"/>
      <c r="B8" s="885"/>
      <c r="C8" s="885"/>
      <c r="D8" s="886"/>
      <c r="E8" s="826"/>
      <c r="F8" s="822"/>
      <c r="G8" s="822"/>
      <c r="H8" s="822"/>
      <c r="I8" s="822"/>
      <c r="J8" s="822"/>
      <c r="K8" s="822"/>
      <c r="L8" s="822"/>
      <c r="M8" s="822"/>
      <c r="N8" s="822"/>
      <c r="O8" s="822"/>
      <c r="P8" s="822"/>
      <c r="Q8" s="822"/>
      <c r="R8" s="822"/>
      <c r="S8" s="822"/>
      <c r="T8" s="822"/>
    </row>
    <row r="9" spans="1:20" ht="18">
      <c r="A9" s="950" t="s">
        <v>491</v>
      </c>
      <c r="B9" s="951"/>
      <c r="C9" s="951"/>
      <c r="D9" s="951"/>
      <c r="E9" s="952"/>
      <c r="F9" s="822"/>
      <c r="G9" s="822"/>
      <c r="H9" s="822"/>
      <c r="I9" s="822"/>
      <c r="J9" s="822"/>
      <c r="K9" s="822"/>
      <c r="L9" s="822"/>
      <c r="M9" s="822"/>
      <c r="N9" s="822"/>
      <c r="O9" s="822"/>
      <c r="P9" s="822"/>
      <c r="Q9" s="822"/>
      <c r="R9" s="822"/>
      <c r="S9" s="822"/>
      <c r="T9" s="822"/>
    </row>
    <row r="10" spans="1:20">
      <c r="A10" s="953" t="s">
        <v>2</v>
      </c>
      <c r="B10" s="827"/>
      <c r="C10" s="954" t="s">
        <v>3</v>
      </c>
      <c r="D10" s="954"/>
      <c r="E10" s="955" t="s">
        <v>492</v>
      </c>
      <c r="F10" s="822"/>
      <c r="G10" s="828"/>
      <c r="H10" s="829"/>
      <c r="I10" s="822"/>
      <c r="J10" s="822"/>
      <c r="K10" s="822"/>
      <c r="L10" s="822"/>
      <c r="M10" s="822"/>
      <c r="N10" s="822"/>
      <c r="O10" s="822"/>
      <c r="P10" s="822"/>
      <c r="Q10" s="822"/>
      <c r="R10" s="822"/>
      <c r="S10" s="822"/>
      <c r="T10" s="822"/>
    </row>
    <row r="11" spans="1:20">
      <c r="A11" s="953"/>
      <c r="B11" s="827"/>
      <c r="C11" s="954"/>
      <c r="D11" s="954"/>
      <c r="E11" s="955"/>
      <c r="F11" s="822"/>
      <c r="G11" s="830"/>
      <c r="I11" s="822"/>
      <c r="J11" s="822"/>
      <c r="K11" s="822"/>
      <c r="L11" s="822"/>
      <c r="M11" s="822"/>
      <c r="N11" s="822"/>
      <c r="O11" s="822"/>
      <c r="P11" s="822"/>
      <c r="Q11" s="822"/>
      <c r="R11" s="822"/>
      <c r="S11" s="822"/>
      <c r="T11" s="822"/>
    </row>
    <row r="12" spans="1:20" ht="14.25">
      <c r="A12" s="831" t="str">
        <f>PLANILHA!A10</f>
        <v>1.0</v>
      </c>
      <c r="B12" s="832"/>
      <c r="C12" s="956" t="str">
        <f>PLANILHA!D10</f>
        <v>SERVIÇOS PRELIMINARES</v>
      </c>
      <c r="D12" s="957"/>
      <c r="E12" s="833">
        <f>PLANILHA!J17</f>
        <v>0</v>
      </c>
      <c r="F12" s="822"/>
      <c r="G12" s="822"/>
      <c r="H12" s="822"/>
      <c r="I12" s="822"/>
      <c r="J12" s="822"/>
      <c r="K12" s="822"/>
      <c r="L12" s="822"/>
      <c r="M12" s="822"/>
      <c r="N12" s="822"/>
      <c r="O12" s="822"/>
      <c r="P12" s="822"/>
      <c r="Q12" s="822"/>
      <c r="R12" s="822"/>
      <c r="S12" s="822"/>
      <c r="T12" s="822"/>
    </row>
    <row r="13" spans="1:20" ht="14.25">
      <c r="A13" s="834" t="str">
        <f>PLANILHA!A19</f>
        <v>2.0</v>
      </c>
      <c r="B13" s="835"/>
      <c r="C13" s="836" t="str">
        <f>PLANILHA!D19</f>
        <v>REFORMA</v>
      </c>
      <c r="D13" s="837"/>
      <c r="E13" s="838"/>
      <c r="F13" s="822"/>
      <c r="G13" s="822"/>
      <c r="H13" s="822"/>
      <c r="I13" s="822"/>
      <c r="J13" s="822"/>
      <c r="K13" s="822"/>
      <c r="L13" s="822"/>
      <c r="M13" s="822"/>
      <c r="N13" s="822"/>
      <c r="O13" s="822"/>
      <c r="P13" s="822"/>
      <c r="Q13" s="822"/>
      <c r="R13" s="822"/>
      <c r="S13" s="822"/>
      <c r="T13" s="822"/>
    </row>
    <row r="14" spans="1:20" s="822" customFormat="1" ht="14.25">
      <c r="A14" s="839" t="str">
        <f>PLANILHA!A20</f>
        <v>2.1</v>
      </c>
      <c r="B14" s="840"/>
      <c r="C14" s="841" t="str">
        <f>PLANILHA!D20</f>
        <v>DEMOLIÇÕES E RETIRADAS</v>
      </c>
      <c r="D14" s="842"/>
      <c r="E14" s="843"/>
    </row>
    <row r="15" spans="1:20" s="822" customFormat="1" ht="14.25">
      <c r="A15" s="839" t="str">
        <f>PLANILHA!A21</f>
        <v>2.1.1</v>
      </c>
      <c r="B15" s="840"/>
      <c r="C15" s="841" t="str">
        <f>PLANILHA!D21</f>
        <v>DEMOLIÇÃO</v>
      </c>
      <c r="D15" s="844"/>
      <c r="E15" s="845">
        <f>PLANILHA!J25</f>
        <v>0</v>
      </c>
    </row>
    <row r="16" spans="1:20" s="822" customFormat="1" ht="14.25">
      <c r="A16" s="839" t="str">
        <f>PLANILHA!A27</f>
        <v>2.1.2</v>
      </c>
      <c r="B16" s="840"/>
      <c r="C16" s="841" t="str">
        <f>PLANILHA!D27</f>
        <v>RETIRADA</v>
      </c>
      <c r="D16" s="842"/>
      <c r="E16" s="843">
        <f>PLANILHA!J39</f>
        <v>0</v>
      </c>
      <c r="G16" s="846"/>
    </row>
    <row r="17" spans="1:20" s="822" customFormat="1" ht="14.25">
      <c r="A17" s="847" t="str">
        <f>PLANILHA!A41</f>
        <v>2.2</v>
      </c>
      <c r="B17" s="848"/>
      <c r="C17" s="943" t="str">
        <f>PLANILHA!D41</f>
        <v>ESTRUTURA DE CONCRETO ARMADO</v>
      </c>
      <c r="D17" s="944"/>
      <c r="E17" s="843">
        <f>PLANILHA!J46</f>
        <v>0</v>
      </c>
    </row>
    <row r="18" spans="1:20" s="822" customFormat="1" ht="14.25">
      <c r="A18" s="847" t="str">
        <f>PLANILHA!A48</f>
        <v>2.3</v>
      </c>
      <c r="B18" s="848"/>
      <c r="C18" s="849" t="str">
        <f>PLANILHA!D48</f>
        <v>COBERTURA</v>
      </c>
      <c r="D18" s="844"/>
      <c r="E18" s="845">
        <f>PLANILHA!J55</f>
        <v>0</v>
      </c>
      <c r="G18" s="846"/>
    </row>
    <row r="19" spans="1:20" s="822" customFormat="1" ht="14.25">
      <c r="A19" s="847" t="str">
        <f>PLANILHA!A57</f>
        <v>2.4</v>
      </c>
      <c r="B19" s="848"/>
      <c r="C19" s="943" t="str">
        <f>PLANILHA!D57</f>
        <v>REVESTIMENTOS DE PAREDES E TETOS</v>
      </c>
      <c r="D19" s="944"/>
      <c r="E19" s="843">
        <f>PLANILHA!J64</f>
        <v>0</v>
      </c>
      <c r="G19" s="850"/>
      <c r="H19" s="850"/>
      <c r="I19" s="850"/>
      <c r="J19" s="850"/>
    </row>
    <row r="20" spans="1:20" s="822" customFormat="1" ht="14.25">
      <c r="A20" s="851" t="str">
        <f>PLANILHA!A66</f>
        <v>2.5</v>
      </c>
      <c r="B20" s="852"/>
      <c r="C20" s="943" t="str">
        <f>PLANILHA!D66</f>
        <v>ESQUADRIAS, FERRAGENS E VIDROS</v>
      </c>
      <c r="D20" s="944"/>
      <c r="E20" s="843">
        <f>PLANILHA!J69</f>
        <v>0</v>
      </c>
      <c r="G20" s="846"/>
    </row>
    <row r="21" spans="1:20" s="822" customFormat="1" ht="14.25">
      <c r="A21" s="853" t="str">
        <f>PLANILHA!A71</f>
        <v>2.6</v>
      </c>
      <c r="B21" s="854"/>
      <c r="C21" s="943" t="str">
        <f>PLANILHA!D71</f>
        <v>LOUÇAS, METAIS, ACESSÓRIOS E ACESSIBILIDADE</v>
      </c>
      <c r="D21" s="944"/>
      <c r="E21" s="843"/>
      <c r="G21" s="846"/>
    </row>
    <row r="22" spans="1:20" s="822" customFormat="1" ht="14.25">
      <c r="A22" s="853" t="str">
        <f>PLANILHA!A72</f>
        <v>2.6.1</v>
      </c>
      <c r="B22" s="852"/>
      <c r="C22" s="943" t="str">
        <f>PLANILHA!D72</f>
        <v xml:space="preserve">LOUÇAS, METAIS, ACESSÓRIOS </v>
      </c>
      <c r="D22" s="944"/>
      <c r="E22" s="843">
        <f>PLANILHA!J86</f>
        <v>0</v>
      </c>
      <c r="G22" s="846"/>
    </row>
    <row r="23" spans="1:20" s="822" customFormat="1" ht="14.25">
      <c r="A23" s="851" t="str">
        <f>PLANILHA!A88</f>
        <v>2.6.2</v>
      </c>
      <c r="B23" s="852"/>
      <c r="C23" s="943" t="str">
        <f>PLANILHA!D88</f>
        <v>ACESSIBILIDADE</v>
      </c>
      <c r="D23" s="944"/>
      <c r="E23" s="843">
        <f>PLANILHA!J98</f>
        <v>0</v>
      </c>
    </row>
    <row r="24" spans="1:20" s="822" customFormat="1" ht="14.25">
      <c r="A24" s="851" t="str">
        <f>PLANILHA!A100</f>
        <v>2.7</v>
      </c>
      <c r="B24" s="852"/>
      <c r="C24" s="855" t="str">
        <f>PLANILHA!D100</f>
        <v>PINTURA</v>
      </c>
      <c r="D24" s="856"/>
      <c r="E24" s="843">
        <f>PLANILHA!J107</f>
        <v>0</v>
      </c>
    </row>
    <row r="25" spans="1:20" s="822" customFormat="1" ht="15" customHeight="1">
      <c r="A25" s="964" t="s">
        <v>493</v>
      </c>
      <c r="B25" s="965"/>
      <c r="C25" s="965"/>
      <c r="D25" s="966"/>
      <c r="E25" s="833">
        <f>SUM(E15:E24)</f>
        <v>0</v>
      </c>
    </row>
    <row r="26" spans="1:20" ht="14.25">
      <c r="A26" s="834" t="str">
        <f>PLANILHA!A110</f>
        <v>3.0</v>
      </c>
      <c r="B26" s="857"/>
      <c r="C26" s="836" t="str">
        <f>PLANILHA!D110</f>
        <v>COMPLEMENTARES</v>
      </c>
      <c r="D26" s="837"/>
      <c r="E26" s="833">
        <f>PLANILHA!J115</f>
        <v>0</v>
      </c>
      <c r="F26" s="822"/>
      <c r="G26" s="822"/>
      <c r="H26" s="822"/>
      <c r="I26" s="822"/>
      <c r="J26" s="822"/>
      <c r="K26" s="822"/>
      <c r="L26" s="822"/>
      <c r="M26" s="822"/>
      <c r="N26" s="822"/>
      <c r="O26" s="822"/>
      <c r="P26" s="822"/>
      <c r="Q26" s="822"/>
      <c r="R26" s="822"/>
      <c r="S26" s="822"/>
      <c r="T26" s="822"/>
    </row>
    <row r="27" spans="1:20" ht="14.25">
      <c r="A27" s="834" t="str">
        <f>PLANILHA!A117</f>
        <v>4.0</v>
      </c>
      <c r="B27" s="858"/>
      <c r="C27" s="967" t="str">
        <f>PLANILHA!D117</f>
        <v>ADMINISTRAÇÃO LOCAL</v>
      </c>
      <c r="D27" s="968"/>
      <c r="E27" s="833">
        <f>PLANILHA!J120</f>
        <v>0</v>
      </c>
      <c r="F27" s="859"/>
      <c r="G27" s="860"/>
    </row>
    <row r="28" spans="1:20" ht="14.25">
      <c r="A28" s="834" t="str">
        <f>PLANILHA!A122</f>
        <v>5.0</v>
      </c>
      <c r="B28" s="858"/>
      <c r="C28" s="967" t="str">
        <f>PLANILHA!D122</f>
        <v xml:space="preserve">LIMPEZA </v>
      </c>
      <c r="D28" s="968"/>
      <c r="E28" s="833">
        <f>PLANILHA!J126</f>
        <v>0</v>
      </c>
      <c r="G28" s="860"/>
    </row>
    <row r="29" spans="1:20" ht="14.25">
      <c r="A29" s="964" t="s">
        <v>41</v>
      </c>
      <c r="B29" s="965"/>
      <c r="C29" s="965" t="s">
        <v>36</v>
      </c>
      <c r="D29" s="966"/>
      <c r="E29" s="861">
        <f>SUM(E25:E28)+E12</f>
        <v>0</v>
      </c>
      <c r="F29" s="822"/>
    </row>
    <row r="30" spans="1:20">
      <c r="A30" s="862"/>
      <c r="B30" s="887"/>
      <c r="C30" s="888"/>
      <c r="D30" s="886"/>
      <c r="E30" s="865"/>
      <c r="F30" s="866"/>
    </row>
    <row r="31" spans="1:20">
      <c r="A31" s="862"/>
      <c r="B31" s="887"/>
      <c r="C31" s="888"/>
      <c r="D31" s="886"/>
      <c r="E31" s="865"/>
      <c r="F31" s="866"/>
    </row>
    <row r="32" spans="1:20">
      <c r="A32" s="867"/>
      <c r="B32" s="887"/>
      <c r="C32" s="888"/>
      <c r="D32" s="886"/>
      <c r="E32" s="865"/>
      <c r="F32" s="866"/>
    </row>
    <row r="33" spans="1:7">
      <c r="A33" s="862"/>
      <c r="B33" s="887"/>
      <c r="C33" s="888"/>
      <c r="D33" s="886"/>
      <c r="E33" s="865"/>
      <c r="F33" s="822"/>
      <c r="G33" s="868"/>
    </row>
    <row r="34" spans="1:7">
      <c r="A34" s="869"/>
      <c r="B34" s="889"/>
      <c r="C34" s="889"/>
      <c r="D34" s="886"/>
      <c r="E34" s="870"/>
      <c r="G34" s="868"/>
    </row>
    <row r="35" spans="1:7">
      <c r="A35" s="869"/>
      <c r="B35" s="889"/>
      <c r="C35" s="889"/>
      <c r="D35" s="886"/>
      <c r="E35" s="870"/>
      <c r="G35" s="868"/>
    </row>
    <row r="36" spans="1:7">
      <c r="A36" s="869"/>
      <c r="B36" s="889"/>
      <c r="C36" s="889"/>
      <c r="D36" s="886"/>
      <c r="E36" s="870"/>
      <c r="G36" s="868"/>
    </row>
    <row r="37" spans="1:7">
      <c r="A37" s="961"/>
      <c r="B37" s="962"/>
      <c r="C37" s="962"/>
      <c r="D37" s="962"/>
      <c r="E37" s="963"/>
    </row>
    <row r="38" spans="1:7" ht="15.75" customHeight="1">
      <c r="A38" s="958"/>
      <c r="B38" s="959"/>
      <c r="C38" s="959"/>
      <c r="D38" s="959"/>
      <c r="E38" s="960"/>
    </row>
    <row r="39" spans="1:7">
      <c r="A39" s="961"/>
      <c r="B39" s="962"/>
      <c r="C39" s="962"/>
      <c r="D39" s="962"/>
      <c r="E39" s="963"/>
    </row>
    <row r="40" spans="1:7">
      <c r="A40" s="869"/>
      <c r="B40" s="887"/>
      <c r="C40" s="890"/>
      <c r="D40" s="886"/>
      <c r="E40" s="871"/>
    </row>
    <row r="41" spans="1:7">
      <c r="A41" s="869"/>
      <c r="B41" s="887"/>
      <c r="C41" s="890"/>
      <c r="D41" s="886"/>
      <c r="E41" s="871"/>
    </row>
    <row r="42" spans="1:7" ht="13.5" thickBot="1">
      <c r="A42" s="872"/>
      <c r="B42" s="873"/>
      <c r="C42" s="874"/>
      <c r="D42" s="875"/>
      <c r="E42" s="876"/>
    </row>
    <row r="43" spans="1:7">
      <c r="A43" s="877"/>
      <c r="B43" s="863"/>
      <c r="C43" s="864"/>
      <c r="D43" s="825"/>
      <c r="E43" s="878"/>
    </row>
    <row r="44" spans="1:7">
      <c r="A44" s="877"/>
      <c r="B44" s="863"/>
      <c r="C44" s="864"/>
      <c r="D44" s="825"/>
      <c r="E44" s="878"/>
    </row>
    <row r="45" spans="1:7">
      <c r="A45" s="877"/>
      <c r="B45" s="863"/>
      <c r="C45" s="864"/>
      <c r="D45" s="825"/>
      <c r="E45" s="878"/>
    </row>
    <row r="46" spans="1:7">
      <c r="A46" s="877"/>
      <c r="B46" s="863"/>
      <c r="C46" s="864"/>
      <c r="D46" s="825"/>
      <c r="E46" s="878"/>
    </row>
    <row r="47" spans="1:7">
      <c r="A47" s="877"/>
      <c r="B47" s="863"/>
      <c r="C47" s="864"/>
      <c r="D47" s="825"/>
      <c r="E47" s="878"/>
    </row>
    <row r="48" spans="1:7">
      <c r="A48" s="877"/>
      <c r="B48" s="863"/>
      <c r="C48" s="864"/>
      <c r="D48" s="825"/>
      <c r="E48" s="878"/>
    </row>
    <row r="49" spans="1:5">
      <c r="A49" s="877"/>
      <c r="B49" s="863"/>
      <c r="C49" s="864"/>
      <c r="D49" s="825"/>
      <c r="E49" s="878"/>
    </row>
    <row r="50" spans="1:5">
      <c r="A50" s="877"/>
      <c r="B50" s="863"/>
      <c r="C50" s="864"/>
      <c r="D50" s="825"/>
      <c r="E50" s="878"/>
    </row>
    <row r="51" spans="1:5">
      <c r="A51" s="877"/>
      <c r="B51" s="863"/>
      <c r="C51" s="864"/>
      <c r="D51" s="825"/>
      <c r="E51" s="878"/>
    </row>
    <row r="52" spans="1:5">
      <c r="A52" s="877"/>
      <c r="B52" s="863"/>
      <c r="C52" s="864"/>
      <c r="D52" s="825"/>
      <c r="E52" s="878"/>
    </row>
    <row r="53" spans="1:5">
      <c r="A53" s="877"/>
      <c r="B53" s="863"/>
      <c r="C53" s="864"/>
      <c r="D53" s="825"/>
      <c r="E53" s="878"/>
    </row>
    <row r="54" spans="1:5">
      <c r="A54" s="877"/>
      <c r="B54" s="863"/>
      <c r="C54" s="864"/>
      <c r="D54" s="825"/>
      <c r="E54" s="878"/>
    </row>
    <row r="55" spans="1:5">
      <c r="A55" s="877"/>
      <c r="B55" s="863"/>
      <c r="C55" s="864"/>
      <c r="D55" s="825"/>
      <c r="E55" s="878"/>
    </row>
    <row r="56" spans="1:5">
      <c r="A56" s="877"/>
      <c r="B56" s="863"/>
      <c r="C56" s="864"/>
      <c r="D56" s="825"/>
      <c r="E56" s="878"/>
    </row>
    <row r="57" spans="1:5">
      <c r="A57" s="877"/>
      <c r="B57" s="863"/>
      <c r="C57" s="864"/>
      <c r="D57" s="825"/>
      <c r="E57" s="878"/>
    </row>
    <row r="58" spans="1:5">
      <c r="A58" s="877"/>
      <c r="B58" s="863"/>
      <c r="C58" s="864"/>
      <c r="D58" s="825"/>
      <c r="E58" s="878"/>
    </row>
    <row r="59" spans="1:5">
      <c r="A59" s="877"/>
      <c r="B59" s="863"/>
      <c r="C59" s="864"/>
      <c r="D59" s="825"/>
      <c r="E59" s="878"/>
    </row>
    <row r="60" spans="1:5">
      <c r="A60" s="877"/>
      <c r="B60" s="863"/>
      <c r="C60" s="864"/>
      <c r="D60" s="825"/>
      <c r="E60" s="878"/>
    </row>
    <row r="61" spans="1:5">
      <c r="A61" s="877"/>
      <c r="B61" s="863"/>
      <c r="C61" s="864"/>
      <c r="D61" s="825"/>
      <c r="E61" s="878"/>
    </row>
    <row r="62" spans="1:5">
      <c r="A62" s="877"/>
      <c r="B62" s="863"/>
      <c r="C62" s="864"/>
      <c r="D62" s="825"/>
      <c r="E62" s="878"/>
    </row>
    <row r="63" spans="1:5">
      <c r="A63" s="877"/>
      <c r="B63" s="863"/>
      <c r="C63" s="864"/>
      <c r="D63" s="825"/>
      <c r="E63" s="878"/>
    </row>
    <row r="64" spans="1:5">
      <c r="A64" s="877"/>
      <c r="B64" s="863"/>
      <c r="C64" s="864"/>
      <c r="D64" s="825"/>
      <c r="E64" s="878"/>
    </row>
    <row r="65" spans="1:5">
      <c r="A65" s="877"/>
      <c r="B65" s="863"/>
      <c r="C65" s="864"/>
      <c r="D65" s="825"/>
      <c r="E65" s="878"/>
    </row>
    <row r="66" spans="1:5">
      <c r="A66" s="877"/>
      <c r="B66" s="863"/>
      <c r="C66" s="864"/>
      <c r="D66" s="825"/>
      <c r="E66" s="878"/>
    </row>
    <row r="67" spans="1:5">
      <c r="A67" s="877"/>
      <c r="B67" s="863"/>
      <c r="C67" s="864"/>
      <c r="D67" s="825"/>
      <c r="E67" s="878"/>
    </row>
    <row r="68" spans="1:5">
      <c r="A68" s="877"/>
      <c r="B68" s="863"/>
      <c r="C68" s="864"/>
      <c r="D68" s="825"/>
      <c r="E68" s="878"/>
    </row>
    <row r="69" spans="1:5">
      <c r="A69" s="877"/>
      <c r="B69" s="863"/>
      <c r="C69" s="864"/>
      <c r="D69" s="825"/>
      <c r="E69" s="878"/>
    </row>
    <row r="70" spans="1:5">
      <c r="A70" s="877"/>
      <c r="B70" s="863"/>
      <c r="C70" s="864"/>
      <c r="D70" s="825"/>
      <c r="E70" s="878"/>
    </row>
    <row r="71" spans="1:5">
      <c r="A71" s="877"/>
      <c r="B71" s="863"/>
      <c r="C71" s="864"/>
      <c r="D71" s="825"/>
      <c r="E71" s="878"/>
    </row>
    <row r="72" spans="1:5">
      <c r="A72" s="877"/>
      <c r="B72" s="863"/>
      <c r="C72" s="864"/>
      <c r="D72" s="825"/>
      <c r="E72" s="878"/>
    </row>
    <row r="73" spans="1:5">
      <c r="A73" s="877"/>
      <c r="B73" s="863"/>
      <c r="C73" s="864"/>
      <c r="D73" s="825"/>
      <c r="E73" s="878"/>
    </row>
    <row r="74" spans="1:5">
      <c r="A74" s="877"/>
      <c r="B74" s="863"/>
      <c r="C74" s="864"/>
      <c r="D74" s="825"/>
      <c r="E74" s="878"/>
    </row>
    <row r="75" spans="1:5">
      <c r="A75" s="877"/>
      <c r="B75" s="863"/>
      <c r="C75" s="864"/>
      <c r="D75" s="825"/>
      <c r="E75" s="878"/>
    </row>
    <row r="76" spans="1:5">
      <c r="A76" s="877"/>
      <c r="B76" s="863"/>
      <c r="C76" s="864"/>
      <c r="D76" s="825"/>
      <c r="E76" s="878"/>
    </row>
    <row r="77" spans="1:5">
      <c r="A77" s="877"/>
      <c r="B77" s="863"/>
      <c r="C77" s="864"/>
      <c r="D77" s="825"/>
      <c r="E77" s="878"/>
    </row>
    <row r="78" spans="1:5">
      <c r="A78" s="877"/>
      <c r="B78" s="863"/>
      <c r="C78" s="864"/>
      <c r="D78" s="825"/>
      <c r="E78" s="878"/>
    </row>
    <row r="79" spans="1:5">
      <c r="A79" s="877"/>
      <c r="B79" s="863"/>
      <c r="C79" s="864"/>
      <c r="D79" s="825"/>
      <c r="E79" s="878"/>
    </row>
    <row r="80" spans="1:5">
      <c r="A80" s="877"/>
      <c r="B80" s="863"/>
      <c r="C80" s="864"/>
      <c r="D80" s="825"/>
      <c r="E80" s="878"/>
    </row>
    <row r="81" spans="1:5">
      <c r="A81" s="877"/>
      <c r="B81" s="863"/>
      <c r="C81" s="864"/>
      <c r="D81" s="825"/>
      <c r="E81" s="878"/>
    </row>
    <row r="82" spans="1:5">
      <c r="A82" s="877"/>
      <c r="B82" s="863"/>
      <c r="C82" s="864"/>
      <c r="D82" s="825"/>
      <c r="E82" s="878"/>
    </row>
    <row r="83" spans="1:5">
      <c r="A83" s="877"/>
      <c r="B83" s="863"/>
      <c r="C83" s="864"/>
      <c r="D83" s="825"/>
      <c r="E83" s="878"/>
    </row>
    <row r="84" spans="1:5">
      <c r="A84" s="877"/>
      <c r="B84" s="863"/>
      <c r="C84" s="864"/>
      <c r="D84" s="825"/>
      <c r="E84" s="878"/>
    </row>
    <row r="85" spans="1:5">
      <c r="A85" s="877"/>
      <c r="B85" s="863"/>
      <c r="C85" s="864"/>
      <c r="D85" s="825"/>
      <c r="E85" s="878"/>
    </row>
    <row r="86" spans="1:5">
      <c r="A86" s="877"/>
      <c r="B86" s="863"/>
      <c r="C86" s="864"/>
      <c r="D86" s="825"/>
      <c r="E86" s="878"/>
    </row>
    <row r="87" spans="1:5">
      <c r="A87" s="877"/>
      <c r="B87" s="863"/>
      <c r="C87" s="864"/>
      <c r="D87" s="825"/>
      <c r="E87" s="878"/>
    </row>
    <row r="88" spans="1:5">
      <c r="A88" s="877"/>
      <c r="B88" s="863"/>
      <c r="C88" s="864"/>
      <c r="D88" s="825"/>
      <c r="E88" s="878"/>
    </row>
    <row r="89" spans="1:5">
      <c r="A89" s="877"/>
      <c r="B89" s="863"/>
      <c r="C89" s="864"/>
      <c r="D89" s="825"/>
      <c r="E89" s="878"/>
    </row>
    <row r="90" spans="1:5">
      <c r="A90" s="877"/>
      <c r="B90" s="863"/>
      <c r="C90" s="864"/>
      <c r="D90" s="825"/>
      <c r="E90" s="878"/>
    </row>
    <row r="91" spans="1:5">
      <c r="A91" s="877"/>
      <c r="B91" s="863"/>
      <c r="C91" s="864"/>
      <c r="D91" s="825"/>
      <c r="E91" s="878"/>
    </row>
    <row r="92" spans="1:5">
      <c r="A92" s="877"/>
      <c r="B92" s="863"/>
      <c r="C92" s="864"/>
      <c r="D92" s="825"/>
      <c r="E92" s="878"/>
    </row>
    <row r="93" spans="1:5">
      <c r="A93" s="877"/>
      <c r="B93" s="863"/>
      <c r="C93" s="864"/>
      <c r="D93" s="825"/>
      <c r="E93" s="878"/>
    </row>
    <row r="94" spans="1:5">
      <c r="A94" s="877"/>
      <c r="B94" s="863"/>
      <c r="C94" s="864"/>
      <c r="D94" s="825"/>
      <c r="E94" s="878"/>
    </row>
    <row r="95" spans="1:5">
      <c r="A95" s="877"/>
      <c r="B95" s="863"/>
      <c r="C95" s="864"/>
      <c r="D95" s="825"/>
      <c r="E95" s="878"/>
    </row>
    <row r="96" spans="1:5">
      <c r="A96" s="877"/>
      <c r="B96" s="863"/>
      <c r="C96" s="864"/>
      <c r="D96" s="825"/>
      <c r="E96" s="878"/>
    </row>
    <row r="97" spans="1:5">
      <c r="A97" s="877"/>
      <c r="B97" s="863"/>
      <c r="C97" s="864"/>
      <c r="D97" s="825"/>
      <c r="E97" s="878"/>
    </row>
    <row r="98" spans="1:5">
      <c r="A98" s="877"/>
      <c r="B98" s="863"/>
      <c r="C98" s="864"/>
      <c r="D98" s="825"/>
      <c r="E98" s="878"/>
    </row>
    <row r="99" spans="1:5">
      <c r="A99" s="877"/>
      <c r="B99" s="863"/>
      <c r="C99" s="864"/>
      <c r="D99" s="825"/>
      <c r="E99" s="878"/>
    </row>
    <row r="100" spans="1:5">
      <c r="A100" s="877"/>
      <c r="B100" s="863"/>
      <c r="C100" s="864"/>
      <c r="D100" s="825"/>
      <c r="E100" s="878"/>
    </row>
    <row r="101" spans="1:5">
      <c r="A101" s="877"/>
      <c r="B101" s="863"/>
      <c r="C101" s="864"/>
      <c r="D101" s="825"/>
      <c r="E101" s="878"/>
    </row>
    <row r="102" spans="1:5">
      <c r="A102" s="877"/>
      <c r="B102" s="863"/>
      <c r="C102" s="864"/>
      <c r="D102" s="825"/>
      <c r="E102" s="878"/>
    </row>
    <row r="103" spans="1:5">
      <c r="A103" s="877"/>
      <c r="B103" s="863"/>
      <c r="C103" s="864"/>
      <c r="D103" s="825"/>
      <c r="E103" s="878"/>
    </row>
    <row r="104" spans="1:5">
      <c r="A104" s="877"/>
      <c r="B104" s="863"/>
      <c r="C104" s="864"/>
      <c r="D104" s="825"/>
      <c r="E104" s="878"/>
    </row>
    <row r="105" spans="1:5">
      <c r="A105" s="877"/>
      <c r="B105" s="863"/>
      <c r="C105" s="864"/>
      <c r="D105" s="825"/>
      <c r="E105" s="878"/>
    </row>
    <row r="106" spans="1:5">
      <c r="A106" s="877"/>
      <c r="B106" s="863"/>
      <c r="C106" s="864"/>
      <c r="D106" s="825"/>
      <c r="E106" s="878"/>
    </row>
    <row r="107" spans="1:5">
      <c r="A107" s="877"/>
      <c r="B107" s="863"/>
      <c r="C107" s="864"/>
      <c r="D107" s="825"/>
      <c r="E107" s="878"/>
    </row>
    <row r="108" spans="1:5">
      <c r="A108" s="877"/>
      <c r="B108" s="863"/>
      <c r="C108" s="864"/>
      <c r="D108" s="825"/>
      <c r="E108" s="878"/>
    </row>
    <row r="109" spans="1:5">
      <c r="A109" s="877"/>
      <c r="B109" s="863"/>
      <c r="C109" s="864"/>
      <c r="D109" s="825"/>
      <c r="E109" s="878"/>
    </row>
    <row r="110" spans="1:5">
      <c r="A110" s="877"/>
      <c r="B110" s="863"/>
      <c r="C110" s="864"/>
      <c r="D110" s="825"/>
      <c r="E110" s="878"/>
    </row>
    <row r="111" spans="1:5">
      <c r="A111" s="877"/>
      <c r="B111" s="863"/>
      <c r="C111" s="864"/>
      <c r="D111" s="825"/>
      <c r="E111" s="878"/>
    </row>
    <row r="112" spans="1:5">
      <c r="A112" s="877"/>
      <c r="B112" s="863"/>
      <c r="C112" s="864"/>
      <c r="D112" s="825"/>
      <c r="E112" s="878"/>
    </row>
    <row r="113" spans="1:5">
      <c r="A113" s="877"/>
      <c r="B113" s="863"/>
      <c r="C113" s="864"/>
      <c r="D113" s="825"/>
      <c r="E113" s="878"/>
    </row>
    <row r="114" spans="1:5">
      <c r="A114" s="877"/>
      <c r="B114" s="863"/>
      <c r="C114" s="864"/>
      <c r="D114" s="825"/>
      <c r="E114" s="878"/>
    </row>
    <row r="115" spans="1:5">
      <c r="A115" s="877"/>
      <c r="B115" s="863"/>
      <c r="C115" s="864"/>
      <c r="D115" s="825"/>
      <c r="E115" s="878"/>
    </row>
    <row r="116" spans="1:5">
      <c r="A116" s="877"/>
      <c r="B116" s="863"/>
      <c r="C116" s="864"/>
      <c r="D116" s="825"/>
      <c r="E116" s="878"/>
    </row>
    <row r="117" spans="1:5">
      <c r="A117" s="877"/>
      <c r="B117" s="863"/>
      <c r="C117" s="864"/>
      <c r="D117" s="825"/>
      <c r="E117" s="878"/>
    </row>
    <row r="118" spans="1:5">
      <c r="A118" s="877"/>
      <c r="B118" s="863"/>
      <c r="C118" s="864"/>
      <c r="D118" s="825"/>
      <c r="E118" s="878"/>
    </row>
    <row r="119" spans="1:5">
      <c r="A119" s="877"/>
      <c r="B119" s="863"/>
      <c r="C119" s="864"/>
      <c r="D119" s="825"/>
      <c r="E119" s="878"/>
    </row>
    <row r="120" spans="1:5">
      <c r="A120" s="877"/>
      <c r="B120" s="863"/>
      <c r="C120" s="864"/>
      <c r="D120" s="825"/>
      <c r="E120" s="878"/>
    </row>
    <row r="121" spans="1:5">
      <c r="A121" s="877"/>
      <c r="B121" s="863"/>
      <c r="C121" s="864"/>
      <c r="D121" s="825"/>
      <c r="E121" s="878"/>
    </row>
    <row r="122" spans="1:5">
      <c r="A122" s="877"/>
      <c r="B122" s="863"/>
      <c r="C122" s="864"/>
      <c r="D122" s="825"/>
      <c r="E122" s="878"/>
    </row>
    <row r="123" spans="1:5">
      <c r="A123" s="877"/>
      <c r="B123" s="863"/>
      <c r="C123" s="864"/>
      <c r="D123" s="825"/>
      <c r="E123" s="878"/>
    </row>
    <row r="124" spans="1:5">
      <c r="A124" s="877"/>
      <c r="B124" s="863"/>
      <c r="C124" s="864"/>
      <c r="D124" s="825"/>
      <c r="E124" s="878"/>
    </row>
    <row r="125" spans="1:5">
      <c r="A125" s="877"/>
      <c r="B125" s="863"/>
      <c r="C125" s="864"/>
      <c r="D125" s="825"/>
      <c r="E125" s="878"/>
    </row>
    <row r="126" spans="1:5">
      <c r="A126" s="877"/>
      <c r="B126" s="863"/>
      <c r="C126" s="864"/>
      <c r="D126" s="825"/>
      <c r="E126" s="878"/>
    </row>
    <row r="127" spans="1:5">
      <c r="A127" s="877"/>
      <c r="B127" s="863"/>
      <c r="C127" s="864"/>
      <c r="D127" s="825"/>
      <c r="E127" s="878"/>
    </row>
    <row r="128" spans="1:5">
      <c r="A128" s="877"/>
      <c r="B128" s="863"/>
      <c r="C128" s="864"/>
      <c r="D128" s="825"/>
      <c r="E128" s="878"/>
    </row>
    <row r="129" spans="1:5">
      <c r="A129" s="877"/>
      <c r="B129" s="863"/>
      <c r="C129" s="864"/>
      <c r="D129" s="825"/>
      <c r="E129" s="878"/>
    </row>
    <row r="130" spans="1:5">
      <c r="A130" s="877"/>
      <c r="B130" s="863"/>
      <c r="C130" s="864"/>
      <c r="D130" s="825"/>
      <c r="E130" s="878"/>
    </row>
    <row r="131" spans="1:5">
      <c r="A131" s="877"/>
      <c r="B131" s="863"/>
      <c r="C131" s="864"/>
      <c r="D131" s="825"/>
      <c r="E131" s="878"/>
    </row>
    <row r="132" spans="1:5">
      <c r="A132" s="877"/>
      <c r="B132" s="863"/>
      <c r="C132" s="864"/>
      <c r="D132" s="825"/>
      <c r="E132" s="878"/>
    </row>
    <row r="133" spans="1:5">
      <c r="A133" s="877"/>
      <c r="B133" s="863"/>
      <c r="C133" s="864"/>
      <c r="D133" s="825"/>
      <c r="E133" s="878"/>
    </row>
    <row r="134" spans="1:5">
      <c r="A134" s="877"/>
      <c r="B134" s="863"/>
      <c r="C134" s="864"/>
      <c r="D134" s="825"/>
      <c r="E134" s="878"/>
    </row>
    <row r="135" spans="1:5">
      <c r="A135" s="877"/>
      <c r="B135" s="863"/>
      <c r="C135" s="864"/>
      <c r="D135" s="825"/>
      <c r="E135" s="878"/>
    </row>
    <row r="136" spans="1:5">
      <c r="A136" s="877"/>
      <c r="B136" s="863"/>
      <c r="C136" s="864"/>
      <c r="D136" s="825"/>
      <c r="E136" s="878"/>
    </row>
    <row r="137" spans="1:5">
      <c r="A137" s="877"/>
      <c r="B137" s="863"/>
      <c r="C137" s="864"/>
      <c r="D137" s="825"/>
      <c r="E137" s="878"/>
    </row>
    <row r="138" spans="1:5">
      <c r="A138" s="877"/>
      <c r="B138" s="863"/>
      <c r="C138" s="864"/>
      <c r="D138" s="825"/>
      <c r="E138" s="878"/>
    </row>
    <row r="139" spans="1:5">
      <c r="A139" s="877"/>
      <c r="B139" s="863"/>
      <c r="C139" s="864"/>
      <c r="D139" s="825"/>
      <c r="E139" s="878"/>
    </row>
    <row r="140" spans="1:5">
      <c r="A140" s="877"/>
      <c r="B140" s="863"/>
      <c r="C140" s="864"/>
      <c r="D140" s="825"/>
      <c r="E140" s="878"/>
    </row>
    <row r="141" spans="1:5">
      <c r="A141" s="877"/>
      <c r="B141" s="863"/>
      <c r="C141" s="864"/>
      <c r="D141" s="825"/>
      <c r="E141" s="878"/>
    </row>
    <row r="142" spans="1:5">
      <c r="A142" s="877"/>
      <c r="B142" s="863"/>
      <c r="C142" s="864"/>
      <c r="D142" s="825"/>
      <c r="E142" s="878"/>
    </row>
    <row r="143" spans="1:5">
      <c r="A143" s="877"/>
      <c r="B143" s="863"/>
      <c r="C143" s="864"/>
      <c r="D143" s="825"/>
      <c r="E143" s="878"/>
    </row>
    <row r="144" spans="1:5">
      <c r="A144" s="877"/>
      <c r="B144" s="863"/>
      <c r="C144" s="864"/>
      <c r="D144" s="825"/>
      <c r="E144" s="878"/>
    </row>
    <row r="145" spans="1:5">
      <c r="A145" s="877"/>
      <c r="B145" s="863"/>
      <c r="C145" s="864"/>
      <c r="D145" s="825"/>
      <c r="E145" s="878"/>
    </row>
    <row r="146" spans="1:5">
      <c r="A146" s="877"/>
      <c r="B146" s="863"/>
      <c r="C146" s="864"/>
      <c r="D146" s="825"/>
      <c r="E146" s="878"/>
    </row>
    <row r="147" spans="1:5">
      <c r="A147" s="877"/>
      <c r="B147" s="863"/>
      <c r="C147" s="864"/>
      <c r="D147" s="825"/>
      <c r="E147" s="878"/>
    </row>
    <row r="148" spans="1:5">
      <c r="A148" s="877"/>
      <c r="B148" s="863"/>
      <c r="C148" s="864"/>
      <c r="D148" s="825"/>
      <c r="E148" s="878"/>
    </row>
    <row r="149" spans="1:5">
      <c r="A149" s="877"/>
      <c r="B149" s="863"/>
      <c r="C149" s="864"/>
      <c r="D149" s="825"/>
      <c r="E149" s="878"/>
    </row>
    <row r="150" spans="1:5">
      <c r="A150" s="877"/>
      <c r="B150" s="863"/>
      <c r="C150" s="864"/>
      <c r="D150" s="825"/>
      <c r="E150" s="878"/>
    </row>
    <row r="151" spans="1:5">
      <c r="A151" s="877"/>
      <c r="B151" s="863"/>
      <c r="C151" s="864"/>
      <c r="D151" s="825"/>
      <c r="E151" s="878"/>
    </row>
    <row r="152" spans="1:5">
      <c r="A152" s="877"/>
      <c r="B152" s="863"/>
      <c r="C152" s="864"/>
      <c r="D152" s="825"/>
      <c r="E152" s="878"/>
    </row>
    <row r="153" spans="1:5">
      <c r="A153" s="877"/>
      <c r="B153" s="863"/>
      <c r="C153" s="864"/>
      <c r="D153" s="825"/>
      <c r="E153" s="878"/>
    </row>
    <row r="154" spans="1:5">
      <c r="A154" s="877"/>
      <c r="B154" s="863"/>
      <c r="C154" s="864"/>
      <c r="D154" s="825"/>
      <c r="E154" s="878"/>
    </row>
    <row r="155" spans="1:5">
      <c r="A155" s="877"/>
      <c r="B155" s="863"/>
      <c r="C155" s="864"/>
      <c r="D155" s="825"/>
      <c r="E155" s="878"/>
    </row>
    <row r="156" spans="1:5">
      <c r="A156" s="877"/>
      <c r="B156" s="863"/>
      <c r="C156" s="864"/>
      <c r="D156" s="825"/>
      <c r="E156" s="878"/>
    </row>
    <row r="157" spans="1:5">
      <c r="A157" s="877"/>
      <c r="B157" s="863"/>
      <c r="C157" s="864"/>
      <c r="D157" s="825"/>
      <c r="E157" s="878"/>
    </row>
    <row r="158" spans="1:5">
      <c r="A158" s="877"/>
      <c r="B158" s="863"/>
      <c r="C158" s="864"/>
      <c r="D158" s="825"/>
      <c r="E158" s="878"/>
    </row>
    <row r="159" spans="1:5">
      <c r="A159" s="877"/>
      <c r="B159" s="863"/>
      <c r="C159" s="864"/>
      <c r="D159" s="825"/>
      <c r="E159" s="878"/>
    </row>
    <row r="160" spans="1:5">
      <c r="A160" s="877"/>
      <c r="B160" s="863"/>
      <c r="C160" s="864"/>
      <c r="D160" s="825"/>
      <c r="E160" s="878"/>
    </row>
    <row r="161" spans="1:5">
      <c r="A161" s="877"/>
      <c r="B161" s="863"/>
      <c r="C161" s="864"/>
      <c r="D161" s="825"/>
      <c r="E161" s="878"/>
    </row>
    <row r="162" spans="1:5">
      <c r="A162" s="877"/>
      <c r="B162" s="863"/>
      <c r="C162" s="864"/>
      <c r="D162" s="825"/>
      <c r="E162" s="878"/>
    </row>
    <row r="163" spans="1:5">
      <c r="A163" s="877"/>
      <c r="B163" s="863"/>
      <c r="C163" s="864"/>
      <c r="D163" s="825"/>
      <c r="E163" s="878"/>
    </row>
    <row r="164" spans="1:5">
      <c r="A164" s="877"/>
      <c r="B164" s="863"/>
      <c r="C164" s="864"/>
      <c r="D164" s="825"/>
      <c r="E164" s="878"/>
    </row>
    <row r="165" spans="1:5">
      <c r="A165" s="877"/>
      <c r="B165" s="863"/>
      <c r="C165" s="864"/>
      <c r="D165" s="825"/>
      <c r="E165" s="878"/>
    </row>
    <row r="166" spans="1:5">
      <c r="A166" s="877"/>
      <c r="B166" s="863"/>
      <c r="C166" s="864"/>
      <c r="D166" s="825"/>
      <c r="E166" s="878"/>
    </row>
    <row r="167" spans="1:5">
      <c r="A167" s="877"/>
      <c r="B167" s="863"/>
      <c r="C167" s="864"/>
      <c r="D167" s="825"/>
      <c r="E167" s="878"/>
    </row>
    <row r="168" spans="1:5">
      <c r="A168" s="877"/>
      <c r="B168" s="863"/>
      <c r="C168" s="864"/>
      <c r="D168" s="825"/>
      <c r="E168" s="878"/>
    </row>
    <row r="169" spans="1:5">
      <c r="A169" s="877"/>
      <c r="B169" s="863"/>
      <c r="C169" s="864"/>
      <c r="D169" s="825"/>
      <c r="E169" s="878"/>
    </row>
    <row r="170" spans="1:5">
      <c r="A170" s="877"/>
      <c r="B170" s="863"/>
      <c r="C170" s="864"/>
      <c r="D170" s="825"/>
      <c r="E170" s="878"/>
    </row>
    <row r="171" spans="1:5">
      <c r="A171" s="877"/>
      <c r="B171" s="863"/>
      <c r="C171" s="864"/>
      <c r="D171" s="825"/>
      <c r="E171" s="878"/>
    </row>
    <row r="172" spans="1:5">
      <c r="A172" s="877"/>
      <c r="B172" s="863"/>
      <c r="C172" s="864"/>
      <c r="D172" s="825"/>
      <c r="E172" s="878"/>
    </row>
    <row r="173" spans="1:5">
      <c r="A173" s="877"/>
      <c r="B173" s="863"/>
      <c r="C173" s="864"/>
      <c r="D173" s="825"/>
      <c r="E173" s="878"/>
    </row>
    <row r="174" spans="1:5">
      <c r="A174" s="877"/>
      <c r="B174" s="863"/>
      <c r="C174" s="864"/>
      <c r="D174" s="825"/>
      <c r="E174" s="878"/>
    </row>
    <row r="175" spans="1:5">
      <c r="A175" s="877"/>
      <c r="B175" s="863"/>
      <c r="C175" s="864"/>
      <c r="D175" s="825"/>
      <c r="E175" s="878"/>
    </row>
    <row r="176" spans="1:5">
      <c r="A176" s="877"/>
      <c r="B176" s="863"/>
      <c r="C176" s="864"/>
      <c r="D176" s="825"/>
      <c r="E176" s="878"/>
    </row>
    <row r="177" spans="1:5">
      <c r="A177" s="877"/>
      <c r="B177" s="863"/>
      <c r="C177" s="864"/>
      <c r="D177" s="825"/>
      <c r="E177" s="878"/>
    </row>
    <row r="178" spans="1:5">
      <c r="A178" s="877"/>
      <c r="B178" s="863"/>
      <c r="C178" s="864"/>
      <c r="D178" s="825"/>
      <c r="E178" s="878"/>
    </row>
    <row r="179" spans="1:5">
      <c r="A179" s="877"/>
      <c r="B179" s="863"/>
      <c r="C179" s="864"/>
      <c r="D179" s="825"/>
      <c r="E179" s="878"/>
    </row>
    <row r="180" spans="1:5">
      <c r="A180" s="877"/>
      <c r="B180" s="863"/>
      <c r="C180" s="864"/>
      <c r="D180" s="825"/>
      <c r="E180" s="878"/>
    </row>
    <row r="181" spans="1:5">
      <c r="A181" s="877"/>
      <c r="B181" s="863"/>
      <c r="C181" s="864"/>
      <c r="D181" s="825"/>
      <c r="E181" s="878"/>
    </row>
    <row r="182" spans="1:5">
      <c r="A182" s="877"/>
      <c r="B182" s="863"/>
      <c r="C182" s="864"/>
      <c r="D182" s="825"/>
      <c r="E182" s="878"/>
    </row>
    <row r="183" spans="1:5">
      <c r="A183" s="877"/>
      <c r="B183" s="863"/>
      <c r="C183" s="864"/>
      <c r="D183" s="825"/>
      <c r="E183" s="878"/>
    </row>
    <row r="184" spans="1:5">
      <c r="A184" s="877"/>
      <c r="B184" s="863"/>
      <c r="C184" s="864"/>
      <c r="D184" s="825"/>
      <c r="E184" s="878"/>
    </row>
    <row r="185" spans="1:5">
      <c r="A185" s="877"/>
      <c r="B185" s="863"/>
      <c r="C185" s="864"/>
      <c r="D185" s="825"/>
      <c r="E185" s="878"/>
    </row>
    <row r="186" spans="1:5">
      <c r="A186" s="877"/>
      <c r="B186" s="863"/>
      <c r="C186" s="864"/>
      <c r="D186" s="825"/>
      <c r="E186" s="878"/>
    </row>
    <row r="187" spans="1:5">
      <c r="A187" s="877"/>
      <c r="B187" s="863"/>
      <c r="C187" s="864"/>
      <c r="D187" s="825"/>
      <c r="E187" s="878"/>
    </row>
    <row r="188" spans="1:5">
      <c r="A188" s="877"/>
      <c r="B188" s="863"/>
      <c r="C188" s="864"/>
      <c r="D188" s="825"/>
      <c r="E188" s="878"/>
    </row>
    <row r="189" spans="1:5">
      <c r="A189" s="877"/>
      <c r="B189" s="863"/>
      <c r="C189" s="864"/>
      <c r="D189" s="825"/>
      <c r="E189" s="878"/>
    </row>
    <row r="190" spans="1:5">
      <c r="A190" s="877"/>
      <c r="B190" s="863"/>
      <c r="C190" s="864"/>
      <c r="D190" s="825"/>
      <c r="E190" s="878"/>
    </row>
    <row r="191" spans="1:5">
      <c r="A191" s="877"/>
      <c r="B191" s="863"/>
      <c r="C191" s="864"/>
      <c r="D191" s="825"/>
      <c r="E191" s="878"/>
    </row>
    <row r="192" spans="1:5">
      <c r="A192" s="877"/>
      <c r="B192" s="863"/>
      <c r="C192" s="864"/>
      <c r="D192" s="825"/>
      <c r="E192" s="878"/>
    </row>
    <row r="193" spans="1:5">
      <c r="A193" s="877"/>
      <c r="B193" s="863"/>
      <c r="C193" s="864"/>
      <c r="D193" s="825"/>
      <c r="E193" s="878"/>
    </row>
    <row r="194" spans="1:5">
      <c r="A194" s="877"/>
      <c r="B194" s="863"/>
      <c r="C194" s="864"/>
      <c r="D194" s="825"/>
      <c r="E194" s="878"/>
    </row>
    <row r="195" spans="1:5">
      <c r="A195" s="877"/>
      <c r="B195" s="863"/>
      <c r="C195" s="864"/>
      <c r="D195" s="825"/>
      <c r="E195" s="878"/>
    </row>
    <row r="196" spans="1:5">
      <c r="A196" s="877"/>
      <c r="B196" s="863"/>
      <c r="C196" s="864"/>
      <c r="D196" s="825"/>
      <c r="E196" s="878"/>
    </row>
    <row r="197" spans="1:5">
      <c r="A197" s="877"/>
      <c r="B197" s="863"/>
      <c r="C197" s="864"/>
      <c r="D197" s="825"/>
      <c r="E197" s="878"/>
    </row>
    <row r="198" spans="1:5">
      <c r="A198" s="877"/>
      <c r="B198" s="863"/>
      <c r="C198" s="864"/>
      <c r="D198" s="825"/>
      <c r="E198" s="878"/>
    </row>
    <row r="199" spans="1:5">
      <c r="A199" s="877"/>
      <c r="B199" s="863"/>
      <c r="C199" s="864"/>
      <c r="D199" s="825"/>
      <c r="E199" s="878"/>
    </row>
    <row r="200" spans="1:5">
      <c r="A200" s="877"/>
      <c r="B200" s="863"/>
      <c r="C200" s="864"/>
      <c r="D200" s="825"/>
      <c r="E200" s="878"/>
    </row>
    <row r="201" spans="1:5">
      <c r="A201" s="877"/>
      <c r="B201" s="863"/>
      <c r="C201" s="864"/>
      <c r="D201" s="825"/>
      <c r="E201" s="878"/>
    </row>
    <row r="202" spans="1:5">
      <c r="A202" s="877"/>
      <c r="B202" s="863"/>
      <c r="C202" s="864"/>
      <c r="D202" s="825"/>
      <c r="E202" s="878"/>
    </row>
    <row r="203" spans="1:5">
      <c r="A203" s="877"/>
      <c r="B203" s="863"/>
      <c r="C203" s="864"/>
      <c r="D203" s="825"/>
      <c r="E203" s="878"/>
    </row>
    <row r="204" spans="1:5">
      <c r="A204" s="877"/>
      <c r="B204" s="863"/>
      <c r="C204" s="864"/>
      <c r="D204" s="825"/>
      <c r="E204" s="878"/>
    </row>
    <row r="205" spans="1:5">
      <c r="A205" s="877"/>
      <c r="B205" s="863"/>
      <c r="C205" s="864"/>
      <c r="D205" s="825"/>
      <c r="E205" s="878"/>
    </row>
    <row r="206" spans="1:5">
      <c r="A206" s="877"/>
      <c r="B206" s="863"/>
      <c r="C206" s="864"/>
      <c r="D206" s="825"/>
      <c r="E206" s="878"/>
    </row>
    <row r="207" spans="1:5">
      <c r="A207" s="877"/>
      <c r="B207" s="863"/>
      <c r="C207" s="864"/>
      <c r="D207" s="825"/>
      <c r="E207" s="878"/>
    </row>
    <row r="208" spans="1:5">
      <c r="A208" s="877"/>
      <c r="B208" s="863"/>
      <c r="C208" s="864"/>
      <c r="D208" s="825"/>
      <c r="E208" s="878"/>
    </row>
    <row r="209" spans="1:5">
      <c r="A209" s="877"/>
      <c r="B209" s="863"/>
      <c r="C209" s="864"/>
      <c r="D209" s="825"/>
      <c r="E209" s="878"/>
    </row>
    <row r="210" spans="1:5">
      <c r="A210" s="877"/>
      <c r="B210" s="863"/>
      <c r="C210" s="864"/>
      <c r="D210" s="825"/>
      <c r="E210" s="878"/>
    </row>
    <row r="211" spans="1:5">
      <c r="A211" s="877"/>
      <c r="B211" s="863"/>
      <c r="C211" s="864"/>
      <c r="D211" s="825"/>
      <c r="E211" s="878"/>
    </row>
    <row r="212" spans="1:5">
      <c r="A212" s="877"/>
      <c r="B212" s="863"/>
      <c r="C212" s="864"/>
      <c r="D212" s="825"/>
      <c r="E212" s="878"/>
    </row>
    <row r="213" spans="1:5">
      <c r="A213" s="877"/>
      <c r="B213" s="863"/>
      <c r="C213" s="864"/>
      <c r="D213" s="825"/>
      <c r="E213" s="878"/>
    </row>
    <row r="214" spans="1:5">
      <c r="A214" s="877"/>
      <c r="B214" s="863"/>
      <c r="C214" s="864"/>
      <c r="D214" s="825"/>
      <c r="E214" s="878"/>
    </row>
    <row r="215" spans="1:5">
      <c r="A215" s="877"/>
      <c r="B215" s="863"/>
      <c r="C215" s="864"/>
      <c r="D215" s="825"/>
      <c r="E215" s="878"/>
    </row>
    <row r="216" spans="1:5">
      <c r="A216" s="877"/>
      <c r="B216" s="863"/>
      <c r="C216" s="864"/>
      <c r="D216" s="825"/>
      <c r="E216" s="878"/>
    </row>
    <row r="217" spans="1:5">
      <c r="A217" s="877"/>
      <c r="B217" s="863"/>
      <c r="C217" s="864"/>
      <c r="D217" s="825"/>
      <c r="E217" s="878"/>
    </row>
    <row r="218" spans="1:5">
      <c r="A218" s="877"/>
      <c r="B218" s="863"/>
      <c r="C218" s="864"/>
      <c r="D218" s="825"/>
      <c r="E218" s="878"/>
    </row>
    <row r="219" spans="1:5">
      <c r="A219" s="877"/>
      <c r="B219" s="863"/>
      <c r="C219" s="864"/>
      <c r="D219" s="825"/>
      <c r="E219" s="878"/>
    </row>
    <row r="220" spans="1:5">
      <c r="A220" s="877"/>
      <c r="B220" s="863"/>
      <c r="C220" s="864"/>
      <c r="D220" s="825"/>
      <c r="E220" s="878"/>
    </row>
    <row r="221" spans="1:5">
      <c r="A221" s="877"/>
      <c r="B221" s="863"/>
      <c r="C221" s="864"/>
      <c r="D221" s="825"/>
      <c r="E221" s="878"/>
    </row>
    <row r="222" spans="1:5">
      <c r="A222" s="877"/>
      <c r="B222" s="863"/>
      <c r="C222" s="864"/>
      <c r="D222" s="825"/>
      <c r="E222" s="878"/>
    </row>
    <row r="223" spans="1:5">
      <c r="A223" s="877"/>
      <c r="B223" s="863"/>
      <c r="C223" s="864"/>
      <c r="D223" s="825"/>
      <c r="E223" s="878"/>
    </row>
    <row r="224" spans="1:5">
      <c r="A224" s="877"/>
      <c r="B224" s="863"/>
      <c r="C224" s="864"/>
      <c r="D224" s="825"/>
      <c r="E224" s="878"/>
    </row>
    <row r="225" spans="1:5">
      <c r="A225" s="877"/>
      <c r="B225" s="863"/>
      <c r="C225" s="864"/>
      <c r="D225" s="825"/>
      <c r="E225" s="878"/>
    </row>
    <row r="226" spans="1:5">
      <c r="A226" s="877"/>
      <c r="B226" s="863"/>
      <c r="C226" s="864"/>
      <c r="D226" s="825"/>
      <c r="E226" s="878"/>
    </row>
    <row r="227" spans="1:5">
      <c r="A227" s="877"/>
      <c r="B227" s="863"/>
      <c r="C227" s="864"/>
      <c r="D227" s="825"/>
      <c r="E227" s="878"/>
    </row>
    <row r="228" spans="1:5">
      <c r="A228" s="877"/>
      <c r="B228" s="863"/>
      <c r="C228" s="864"/>
      <c r="D228" s="825"/>
      <c r="E228" s="878"/>
    </row>
    <row r="229" spans="1:5">
      <c r="A229" s="877"/>
      <c r="B229" s="863"/>
      <c r="C229" s="864"/>
      <c r="D229" s="825"/>
      <c r="E229" s="878"/>
    </row>
    <row r="230" spans="1:5">
      <c r="A230" s="877"/>
      <c r="B230" s="863"/>
      <c r="C230" s="864"/>
      <c r="D230" s="825"/>
      <c r="E230" s="878"/>
    </row>
    <row r="231" spans="1:5">
      <c r="A231" s="877"/>
      <c r="B231" s="863"/>
      <c r="C231" s="864"/>
      <c r="D231" s="825"/>
      <c r="E231" s="878"/>
    </row>
    <row r="232" spans="1:5">
      <c r="A232" s="877"/>
      <c r="B232" s="863"/>
      <c r="C232" s="864"/>
      <c r="D232" s="825"/>
      <c r="E232" s="878"/>
    </row>
    <row r="233" spans="1:5">
      <c r="A233" s="877"/>
      <c r="B233" s="863"/>
      <c r="C233" s="864"/>
      <c r="D233" s="825"/>
      <c r="E233" s="878"/>
    </row>
    <row r="234" spans="1:5">
      <c r="A234" s="877"/>
      <c r="B234" s="863"/>
      <c r="C234" s="864"/>
      <c r="D234" s="825"/>
      <c r="E234" s="878"/>
    </row>
    <row r="235" spans="1:5">
      <c r="A235" s="877"/>
      <c r="B235" s="863"/>
      <c r="C235" s="864"/>
      <c r="D235" s="825"/>
      <c r="E235" s="878"/>
    </row>
    <row r="236" spans="1:5">
      <c r="A236" s="877"/>
      <c r="B236" s="863"/>
      <c r="C236" s="864"/>
      <c r="D236" s="825"/>
      <c r="E236" s="878"/>
    </row>
    <row r="237" spans="1:5">
      <c r="A237" s="877"/>
      <c r="B237" s="863"/>
      <c r="C237" s="864"/>
      <c r="D237" s="825"/>
      <c r="E237" s="878"/>
    </row>
    <row r="238" spans="1:5">
      <c r="A238" s="877"/>
      <c r="B238" s="863"/>
      <c r="C238" s="864"/>
      <c r="D238" s="825"/>
      <c r="E238" s="878"/>
    </row>
  </sheetData>
  <mergeCells count="20">
    <mergeCell ref="A38:E38"/>
    <mergeCell ref="A39:E39"/>
    <mergeCell ref="C23:D23"/>
    <mergeCell ref="A25:D25"/>
    <mergeCell ref="C27:D27"/>
    <mergeCell ref="C28:D28"/>
    <mergeCell ref="A29:D29"/>
    <mergeCell ref="A37:E37"/>
    <mergeCell ref="C22:D22"/>
    <mergeCell ref="A1:E1"/>
    <mergeCell ref="A2:C2"/>
    <mergeCell ref="A9:E9"/>
    <mergeCell ref="A10:A11"/>
    <mergeCell ref="C10:D11"/>
    <mergeCell ref="E10:E11"/>
    <mergeCell ref="C12:D12"/>
    <mergeCell ref="C17:D17"/>
    <mergeCell ref="C19:D19"/>
    <mergeCell ref="C20:D20"/>
    <mergeCell ref="C21:D21"/>
  </mergeCells>
  <printOptions horizontalCentered="1"/>
  <pageMargins left="0.23622047244094491" right="7.874015748031496E-2" top="0.39370078740157483" bottom="0.39370078740157483" header="0" footer="0"/>
  <pageSetup paperSize="9" scale="79" fitToHeight="0" orientation="portrait"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pageSetUpPr fitToPage="1"/>
  </sheetPr>
  <dimension ref="A1:AA995"/>
  <sheetViews>
    <sheetView zoomScale="130" zoomScaleNormal="130" workbookViewId="0">
      <selection activeCell="D33" sqref="D33"/>
    </sheetView>
  </sheetViews>
  <sheetFormatPr defaultColWidth="14.42578125" defaultRowHeight="15" customHeight="1"/>
  <cols>
    <col min="1" max="1" width="7.140625" style="89" customWidth="1"/>
    <col min="2" max="2" width="29" style="89" customWidth="1"/>
    <col min="3" max="3" width="12.5703125" style="89" bestFit="1" customWidth="1"/>
    <col min="4" max="4" width="6" style="89" bestFit="1" customWidth="1"/>
    <col min="5" max="5" width="12" style="89" bestFit="1" customWidth="1"/>
    <col min="6" max="6" width="6" style="89" bestFit="1" customWidth="1"/>
    <col min="7" max="7" width="11.7109375" style="89" bestFit="1" customWidth="1"/>
    <col min="8" max="8" width="6" style="89" bestFit="1" customWidth="1"/>
    <col min="9" max="9" width="12.42578125" style="89" bestFit="1" customWidth="1"/>
    <col min="10" max="10" width="8" style="89" bestFit="1" customWidth="1"/>
    <col min="11" max="11" width="12.42578125" style="89" bestFit="1" customWidth="1"/>
    <col min="12" max="12" width="8" style="89" bestFit="1" customWidth="1"/>
    <col min="13" max="13" width="12.42578125" style="89" bestFit="1" customWidth="1"/>
    <col min="14" max="14" width="12.140625" style="89" customWidth="1"/>
    <col min="15" max="15" width="7.7109375" style="89" customWidth="1"/>
    <col min="16" max="16" width="12.85546875" style="89" customWidth="1"/>
    <col min="17" max="17" width="8.140625" style="89" customWidth="1"/>
    <col min="18" max="18" width="12.85546875" style="89" customWidth="1"/>
    <col min="19" max="19" width="8.85546875" style="89" customWidth="1"/>
    <col min="20" max="20" width="12.5703125" style="89" customWidth="1"/>
    <col min="21" max="21" width="10.85546875" style="89" customWidth="1"/>
    <col min="22" max="16384" width="14.42578125" style="89"/>
  </cols>
  <sheetData>
    <row r="1" spans="1:27" ht="15.75">
      <c r="A1" s="271"/>
      <c r="B1" s="1023"/>
      <c r="C1" s="1023"/>
      <c r="D1" s="1023"/>
      <c r="E1" s="1023"/>
      <c r="F1" s="1023"/>
      <c r="G1" s="1023"/>
      <c r="H1" s="1023"/>
      <c r="I1" s="1023"/>
      <c r="J1" s="1023"/>
      <c r="K1" s="1023"/>
      <c r="L1" s="563"/>
      <c r="M1" s="563"/>
      <c r="N1" s="272"/>
      <c r="O1" s="111"/>
      <c r="P1" s="111"/>
      <c r="Q1" s="111"/>
      <c r="R1" s="111"/>
      <c r="S1" s="18"/>
      <c r="T1" s="18"/>
      <c r="U1" s="18"/>
      <c r="V1" s="20"/>
    </row>
    <row r="2" spans="1:27" ht="14.25">
      <c r="A2" s="158" t="str">
        <f>DADOS!D7</f>
        <v>PREFEITURA MUNICIPAL DE NAVIRAÍ</v>
      </c>
      <c r="B2" s="20"/>
      <c r="C2" s="20"/>
      <c r="D2" s="20"/>
      <c r="E2" s="20"/>
      <c r="F2" s="20"/>
      <c r="G2" s="20"/>
      <c r="H2" s="20"/>
      <c r="I2" s="20"/>
      <c r="J2" s="20"/>
      <c r="K2" s="20"/>
      <c r="L2" s="20"/>
      <c r="M2" s="20"/>
      <c r="N2" s="252"/>
      <c r="O2" s="20"/>
      <c r="P2" s="20"/>
      <c r="Q2" s="20"/>
      <c r="R2" s="20"/>
      <c r="S2" s="20"/>
      <c r="T2" s="20"/>
      <c r="U2" s="18"/>
      <c r="V2" s="20"/>
    </row>
    <row r="3" spans="1:27" ht="15.75" customHeight="1">
      <c r="A3" s="159" t="str">
        <f>CONCATENATE("PROJETO: ",DADOS!D12)</f>
        <v>PROJETO: REFORMA CRECHE EVA MORAES DE OLIVEIRA</v>
      </c>
      <c r="B3" s="257"/>
      <c r="C3" s="257"/>
      <c r="D3" s="257"/>
      <c r="E3" s="257"/>
      <c r="F3" s="257"/>
      <c r="G3" s="257"/>
      <c r="H3" s="257"/>
      <c r="I3" s="257"/>
      <c r="J3" s="257"/>
      <c r="K3" s="257"/>
      <c r="L3" s="257"/>
      <c r="M3" s="257"/>
      <c r="N3" s="252"/>
      <c r="O3" s="20"/>
      <c r="P3" s="20"/>
      <c r="Q3" s="20"/>
      <c r="R3" s="20"/>
      <c r="S3" s="20"/>
      <c r="T3" s="20"/>
      <c r="U3" s="18"/>
      <c r="V3" s="20"/>
    </row>
    <row r="4" spans="1:27" ht="12.75" customHeight="1">
      <c r="A4" s="160" t="str">
        <f>CONCATENATE("LOCAL: ",DADOS!D8)</f>
        <v>LOCAL: AV. PONTA PORÃ, 858 - NAVIRAÍ</v>
      </c>
      <c r="B4" s="258"/>
      <c r="C4" s="258"/>
      <c r="D4" s="258"/>
      <c r="E4" s="258"/>
      <c r="F4" s="258"/>
      <c r="G4" s="258"/>
      <c r="H4" s="258"/>
      <c r="I4" s="258"/>
      <c r="J4" s="258"/>
      <c r="K4" s="258"/>
      <c r="L4" s="258"/>
      <c r="M4" s="258"/>
      <c r="N4" s="273"/>
      <c r="O4" s="112"/>
      <c r="P4" s="112"/>
      <c r="Q4" s="112"/>
      <c r="R4" s="112"/>
      <c r="S4" s="112"/>
      <c r="T4" s="112"/>
      <c r="U4" s="99"/>
      <c r="V4" s="20"/>
    </row>
    <row r="5" spans="1:27" ht="12.75" customHeight="1">
      <c r="A5" s="160" t="str">
        <f>CONCATENATE(DADOS!D13)</f>
        <v>ENCARGOS SOCIAIS DESONERADOS: 83,00%(HORA) 46,50%(MÊS)</v>
      </c>
      <c r="B5" s="259"/>
      <c r="C5" s="259"/>
      <c r="D5" s="259"/>
      <c r="E5" s="259"/>
      <c r="F5" s="259"/>
      <c r="G5" s="259"/>
      <c r="H5" s="259"/>
      <c r="I5" s="259"/>
      <c r="J5" s="259"/>
      <c r="K5" s="259"/>
      <c r="L5" s="259"/>
      <c r="M5" s="259"/>
      <c r="N5" s="252"/>
      <c r="O5" s="20"/>
      <c r="P5" s="20"/>
      <c r="Q5" s="20"/>
      <c r="R5" s="20"/>
      <c r="S5" s="20"/>
      <c r="T5" s="20"/>
      <c r="U5" s="18"/>
      <c r="V5" s="20"/>
    </row>
    <row r="6" spans="1:27" ht="12.75" customHeight="1">
      <c r="A6" s="160"/>
      <c r="B6" s="14"/>
      <c r="C6" s="14"/>
      <c r="D6" s="14"/>
      <c r="E6" s="14"/>
      <c r="F6" s="14"/>
      <c r="G6" s="14"/>
      <c r="H6" s="14"/>
      <c r="I6" s="14"/>
      <c r="J6" s="14"/>
      <c r="K6" s="14"/>
      <c r="L6" s="14"/>
      <c r="M6" s="14"/>
      <c r="N6" s="270"/>
      <c r="O6" s="113"/>
      <c r="P6" s="113"/>
      <c r="Q6" s="113"/>
      <c r="R6" s="113"/>
      <c r="S6" s="113"/>
      <c r="T6" s="113"/>
      <c r="U6" s="99"/>
      <c r="V6" s="20"/>
    </row>
    <row r="7" spans="1:27" ht="18.75" customHeight="1">
      <c r="A7" s="1024" t="s">
        <v>149</v>
      </c>
      <c r="B7" s="1025"/>
      <c r="C7" s="1025"/>
      <c r="D7" s="1025"/>
      <c r="E7" s="1025"/>
      <c r="F7" s="1025"/>
      <c r="G7" s="1025"/>
      <c r="H7" s="1025"/>
      <c r="I7" s="1025"/>
      <c r="J7" s="1025"/>
      <c r="K7" s="1025"/>
      <c r="L7" s="1025"/>
      <c r="M7" s="1025"/>
      <c r="N7" s="1026"/>
      <c r="O7" s="18"/>
      <c r="P7" s="18"/>
      <c r="Q7" s="18"/>
      <c r="R7" s="18"/>
      <c r="S7" s="18"/>
      <c r="T7" s="18"/>
      <c r="U7" s="18"/>
      <c r="V7" s="20"/>
    </row>
    <row r="8" spans="1:27" ht="13.5" customHeight="1">
      <c r="A8" s="274" t="s">
        <v>2</v>
      </c>
      <c r="B8" s="260" t="s">
        <v>23</v>
      </c>
      <c r="C8" s="260" t="s">
        <v>24</v>
      </c>
      <c r="D8" s="260" t="s">
        <v>25</v>
      </c>
      <c r="E8" s="260" t="s">
        <v>26</v>
      </c>
      <c r="F8" s="260" t="s">
        <v>25</v>
      </c>
      <c r="G8" s="260" t="s">
        <v>27</v>
      </c>
      <c r="H8" s="260" t="s">
        <v>25</v>
      </c>
      <c r="I8" s="260" t="s">
        <v>28</v>
      </c>
      <c r="J8" s="260" t="s">
        <v>25</v>
      </c>
      <c r="K8" s="260" t="s">
        <v>29</v>
      </c>
      <c r="L8" s="260" t="s">
        <v>25</v>
      </c>
      <c r="M8" s="260" t="s">
        <v>276</v>
      </c>
      <c r="N8" s="275" t="s">
        <v>234</v>
      </c>
      <c r="S8" s="20"/>
      <c r="T8" s="20"/>
      <c r="U8" s="20"/>
      <c r="V8" s="20"/>
    </row>
    <row r="9" spans="1:27" ht="12.75" customHeight="1">
      <c r="A9" s="261" t="s">
        <v>30</v>
      </c>
      <c r="B9" s="262" t="str">
        <f>PLANILHA!D10</f>
        <v>SERVIÇOS PRELIMINARES</v>
      </c>
      <c r="C9" s="263">
        <f>PLANILHA!J18</f>
        <v>0</v>
      </c>
      <c r="D9" s="264">
        <v>1</v>
      </c>
      <c r="E9" s="265">
        <f>C9*D9</f>
        <v>0</v>
      </c>
      <c r="F9" s="264"/>
      <c r="G9" s="265">
        <f t="shared" ref="G9:G13" si="0">F9*C9</f>
        <v>0</v>
      </c>
      <c r="H9" s="264"/>
      <c r="I9" s="265">
        <f>H9*C9</f>
        <v>0</v>
      </c>
      <c r="J9" s="264"/>
      <c r="K9" s="265">
        <f>J9*C9</f>
        <v>0</v>
      </c>
      <c r="L9" s="264"/>
      <c r="M9" s="265">
        <f>L9*C9</f>
        <v>0</v>
      </c>
      <c r="N9" s="701">
        <f>D9+F9+H9+J9+L9</f>
        <v>1</v>
      </c>
      <c r="S9" s="20"/>
      <c r="T9" s="20"/>
      <c r="U9" s="20"/>
      <c r="V9" s="20"/>
    </row>
    <row r="10" spans="1:27" ht="12.75" customHeight="1">
      <c r="A10" s="261" t="s">
        <v>31</v>
      </c>
      <c r="B10" s="262" t="str">
        <f>PLANILHA!D19</f>
        <v>REFORMA</v>
      </c>
      <c r="C10" s="263">
        <f>PLANILHA!J109</f>
        <v>0</v>
      </c>
      <c r="D10" s="264">
        <v>0.2</v>
      </c>
      <c r="E10" s="265">
        <f>C10*D10</f>
        <v>0</v>
      </c>
      <c r="F10" s="549">
        <v>0.2</v>
      </c>
      <c r="G10" s="265">
        <f>F10*C10</f>
        <v>0</v>
      </c>
      <c r="H10" s="549">
        <v>0.2</v>
      </c>
      <c r="I10" s="265">
        <f>H10*C10</f>
        <v>0</v>
      </c>
      <c r="J10" s="264">
        <v>0.2</v>
      </c>
      <c r="K10" s="265">
        <f>J10*C10</f>
        <v>0</v>
      </c>
      <c r="L10" s="264">
        <v>0.2</v>
      </c>
      <c r="M10" s="265">
        <f t="shared" ref="M10:M13" si="1">L10*C10</f>
        <v>0</v>
      </c>
      <c r="N10" s="701">
        <f t="shared" ref="N10:N13" si="2">D10+F10+H10+J10+L10</f>
        <v>1</v>
      </c>
      <c r="S10" s="20"/>
      <c r="T10" s="20"/>
      <c r="U10" s="20"/>
      <c r="V10" s="20"/>
    </row>
    <row r="11" spans="1:27" ht="12.75" customHeight="1">
      <c r="A11" s="261" t="s">
        <v>32</v>
      </c>
      <c r="B11" s="262" t="str">
        <f>PLANILHA!D110</f>
        <v>COMPLEMENTARES</v>
      </c>
      <c r="C11" s="263">
        <f>PLANILHA!J116</f>
        <v>0</v>
      </c>
      <c r="D11" s="264">
        <v>0</v>
      </c>
      <c r="E11" s="265">
        <f t="shared" ref="E11:E13" si="3">C11*D11</f>
        <v>0</v>
      </c>
      <c r="F11" s="264">
        <v>0.2</v>
      </c>
      <c r="G11" s="265">
        <f>F11*C11</f>
        <v>0</v>
      </c>
      <c r="H11" s="264">
        <v>0.2</v>
      </c>
      <c r="I11" s="265">
        <f>H11*C11</f>
        <v>0</v>
      </c>
      <c r="J11" s="264">
        <v>0.2</v>
      </c>
      <c r="K11" s="265">
        <f>J11*C11</f>
        <v>0</v>
      </c>
      <c r="L11" s="264">
        <v>0.4</v>
      </c>
      <c r="M11" s="265">
        <f t="shared" si="1"/>
        <v>0</v>
      </c>
      <c r="N11" s="701">
        <f t="shared" si="2"/>
        <v>1</v>
      </c>
      <c r="S11" s="20"/>
      <c r="T11" s="20"/>
      <c r="U11" s="20"/>
      <c r="V11" s="7"/>
      <c r="W11" s="1"/>
      <c r="X11" s="1"/>
      <c r="Y11" s="1"/>
      <c r="Z11" s="1"/>
      <c r="AA11" s="1"/>
    </row>
    <row r="12" spans="1:27" ht="12.75" customHeight="1">
      <c r="A12" s="261" t="s">
        <v>33</v>
      </c>
      <c r="B12" s="262" t="str">
        <f>PLANILHA!D117</f>
        <v>ADMINISTRAÇÃO LOCAL</v>
      </c>
      <c r="C12" s="263">
        <f>PLANILHA!J121</f>
        <v>0</v>
      </c>
      <c r="D12" s="550">
        <v>0.2</v>
      </c>
      <c r="E12" s="265">
        <f>C12*D12</f>
        <v>0</v>
      </c>
      <c r="F12" s="550">
        <v>0.2</v>
      </c>
      <c r="G12" s="265">
        <f>F12*C12</f>
        <v>0</v>
      </c>
      <c r="H12" s="550">
        <v>0.2</v>
      </c>
      <c r="I12" s="265">
        <f>H12*C12</f>
        <v>0</v>
      </c>
      <c r="J12" s="550">
        <v>0.2</v>
      </c>
      <c r="K12" s="265">
        <f>J12*C12</f>
        <v>0</v>
      </c>
      <c r="L12" s="550">
        <v>0.2</v>
      </c>
      <c r="M12" s="265">
        <f t="shared" si="1"/>
        <v>0</v>
      </c>
      <c r="N12" s="701">
        <f t="shared" si="2"/>
        <v>1</v>
      </c>
      <c r="S12" s="20"/>
      <c r="T12" s="20"/>
      <c r="U12" s="20"/>
      <c r="V12" s="7"/>
      <c r="W12" s="1"/>
      <c r="X12" s="1"/>
      <c r="Y12" s="1"/>
      <c r="Z12" s="1"/>
      <c r="AA12" s="1"/>
    </row>
    <row r="13" spans="1:27" ht="12.75" customHeight="1">
      <c r="A13" s="261" t="s">
        <v>34</v>
      </c>
      <c r="B13" s="262" t="str">
        <f>'MEMÓRIA DE CÁLCULO'!B97</f>
        <v xml:space="preserve">LIMPEZA </v>
      </c>
      <c r="C13" s="263">
        <f>PLANILHA!J126</f>
        <v>0</v>
      </c>
      <c r="D13" s="264"/>
      <c r="E13" s="265">
        <f t="shared" si="3"/>
        <v>0</v>
      </c>
      <c r="F13" s="264"/>
      <c r="G13" s="265">
        <f t="shared" si="0"/>
        <v>0</v>
      </c>
      <c r="H13" s="264"/>
      <c r="I13" s="265">
        <f t="shared" ref="I13" si="4">H13*C13</f>
        <v>0</v>
      </c>
      <c r="J13" s="264"/>
      <c r="K13" s="265">
        <f>J13*C13</f>
        <v>0</v>
      </c>
      <c r="L13" s="264">
        <v>1</v>
      </c>
      <c r="M13" s="265">
        <f t="shared" si="1"/>
        <v>0</v>
      </c>
      <c r="N13" s="701">
        <f t="shared" si="2"/>
        <v>1</v>
      </c>
      <c r="S13" s="20"/>
      <c r="T13" s="20"/>
      <c r="U13" s="20"/>
      <c r="V13" s="20"/>
    </row>
    <row r="14" spans="1:27" ht="12.75" customHeight="1">
      <c r="A14" s="1022" t="s">
        <v>36</v>
      </c>
      <c r="B14" s="1022"/>
      <c r="C14" s="266">
        <f>SUM(C9:C13)</f>
        <v>0</v>
      </c>
      <c r="D14" s="266"/>
      <c r="E14" s="266"/>
      <c r="F14" s="266"/>
      <c r="G14" s="266"/>
      <c r="H14" s="266"/>
      <c r="I14" s="266"/>
      <c r="J14" s="266"/>
      <c r="K14" s="266"/>
      <c r="L14" s="266"/>
      <c r="M14" s="266"/>
      <c r="N14" s="252"/>
      <c r="S14" s="20"/>
      <c r="T14" s="20"/>
      <c r="U14" s="20"/>
      <c r="V14" s="20"/>
    </row>
    <row r="15" spans="1:27" ht="12.75" customHeight="1">
      <c r="A15" s="1022" t="s">
        <v>37</v>
      </c>
      <c r="B15" s="1022"/>
      <c r="C15" s="267"/>
      <c r="D15" s="268" t="e">
        <f>E17/C14</f>
        <v>#DIV/0!</v>
      </c>
      <c r="E15" s="269"/>
      <c r="F15" s="268" t="e">
        <f>G17/C14</f>
        <v>#DIV/0!</v>
      </c>
      <c r="G15" s="267"/>
      <c r="H15" s="268" t="e">
        <f>I17/C14</f>
        <v>#DIV/0!</v>
      </c>
      <c r="I15" s="267"/>
      <c r="J15" s="268" t="e">
        <f>K17/C14</f>
        <v>#DIV/0!</v>
      </c>
      <c r="K15" s="267"/>
      <c r="L15" s="268" t="e">
        <f>M17/C14</f>
        <v>#DIV/0!</v>
      </c>
      <c r="M15" s="267"/>
      <c r="N15" s="252"/>
      <c r="S15" s="20"/>
      <c r="T15" s="20"/>
      <c r="U15" s="20"/>
      <c r="V15" s="20"/>
    </row>
    <row r="16" spans="1:27" ht="12.75" customHeight="1">
      <c r="A16" s="1022" t="s">
        <v>38</v>
      </c>
      <c r="B16" s="1022"/>
      <c r="C16" s="267"/>
      <c r="D16" s="268" t="e">
        <f>D15</f>
        <v>#DIV/0!</v>
      </c>
      <c r="E16" s="269"/>
      <c r="F16" s="268" t="e">
        <f>D16+F15</f>
        <v>#DIV/0!</v>
      </c>
      <c r="G16" s="267"/>
      <c r="H16" s="268" t="e">
        <f>F16+H15</f>
        <v>#DIV/0!</v>
      </c>
      <c r="I16" s="267"/>
      <c r="J16" s="268" t="e">
        <f>H16+J15</f>
        <v>#DIV/0!</v>
      </c>
      <c r="K16" s="267"/>
      <c r="L16" s="268" t="e">
        <f>J16+L15</f>
        <v>#DIV/0!</v>
      </c>
      <c r="M16" s="267"/>
      <c r="N16" s="252"/>
      <c r="S16" s="20"/>
      <c r="T16" s="20"/>
      <c r="U16" s="20"/>
      <c r="V16" s="20"/>
    </row>
    <row r="17" spans="1:22" ht="12.75" customHeight="1">
      <c r="A17" s="1022" t="s">
        <v>39</v>
      </c>
      <c r="B17" s="1022"/>
      <c r="C17" s="266">
        <f>SUM(C9:C13)</f>
        <v>0</v>
      </c>
      <c r="D17" s="266"/>
      <c r="E17" s="266">
        <f>SUM(E9:E13)</f>
        <v>0</v>
      </c>
      <c r="F17" s="266"/>
      <c r="G17" s="266">
        <f>SUM(G9:G13)</f>
        <v>0</v>
      </c>
      <c r="H17" s="266"/>
      <c r="I17" s="266">
        <f>SUM(I9:I13)</f>
        <v>0</v>
      </c>
      <c r="J17" s="266"/>
      <c r="K17" s="266">
        <f>SUM(K9:K13)</f>
        <v>0</v>
      </c>
      <c r="L17" s="266"/>
      <c r="M17" s="266">
        <f>SUM(M9:M13)</f>
        <v>0</v>
      </c>
      <c r="N17" s="252"/>
      <c r="S17" s="20"/>
      <c r="T17" s="20"/>
      <c r="U17" s="20"/>
      <c r="V17" s="20"/>
    </row>
    <row r="18" spans="1:22" ht="13.5" customHeight="1">
      <c r="A18" s="1022" t="s">
        <v>40</v>
      </c>
      <c r="B18" s="1022"/>
      <c r="C18" s="266">
        <f>C17</f>
        <v>0</v>
      </c>
      <c r="D18" s="266"/>
      <c r="E18" s="266">
        <f>E17</f>
        <v>0</v>
      </c>
      <c r="F18" s="266"/>
      <c r="G18" s="266">
        <f>E18+G17</f>
        <v>0</v>
      </c>
      <c r="H18" s="266"/>
      <c r="I18" s="266">
        <f>G18+I17</f>
        <v>0</v>
      </c>
      <c r="J18" s="266"/>
      <c r="K18" s="266">
        <f>I18+K17</f>
        <v>0</v>
      </c>
      <c r="L18" s="266"/>
      <c r="M18" s="266">
        <f>K18+M17</f>
        <v>0</v>
      </c>
      <c r="N18" s="252"/>
      <c r="S18" s="20"/>
      <c r="T18" s="20"/>
      <c r="U18" s="20"/>
      <c r="V18" s="20"/>
    </row>
    <row r="19" spans="1:22" ht="13.5" customHeight="1">
      <c r="A19" s="452"/>
      <c r="B19" s="453"/>
      <c r="C19" s="454"/>
      <c r="D19" s="454"/>
      <c r="E19" s="454"/>
      <c r="F19" s="454"/>
      <c r="G19" s="454"/>
      <c r="H19" s="454"/>
      <c r="I19" s="454"/>
      <c r="J19" s="454"/>
      <c r="K19" s="454"/>
      <c r="L19" s="454"/>
      <c r="M19" s="454"/>
      <c r="N19" s="252"/>
      <c r="S19" s="20"/>
      <c r="T19" s="20"/>
      <c r="U19" s="20"/>
      <c r="V19" s="20"/>
    </row>
    <row r="20" spans="1:22" ht="13.5" customHeight="1">
      <c r="A20" s="565"/>
      <c r="B20" s="566"/>
      <c r="C20" s="566"/>
      <c r="D20" s="566"/>
      <c r="E20" s="566"/>
      <c r="F20" s="566"/>
      <c r="G20" s="566"/>
      <c r="H20" s="566"/>
      <c r="I20" s="566"/>
      <c r="J20" s="566"/>
      <c r="K20" s="566"/>
      <c r="L20" s="566"/>
      <c r="M20" s="566"/>
      <c r="N20" s="564"/>
      <c r="S20" s="20"/>
      <c r="T20" s="20"/>
      <c r="U20" s="20"/>
      <c r="V20" s="20"/>
    </row>
    <row r="21" spans="1:22" ht="12.75" customHeight="1">
      <c r="A21" s="276">
        <f>PLANILHA!A130</f>
        <v>0</v>
      </c>
      <c r="B21" s="20"/>
      <c r="C21" s="20"/>
      <c r="D21" s="20"/>
      <c r="E21" s="114"/>
      <c r="F21" s="114"/>
      <c r="G21" s="114"/>
      <c r="H21" s="114"/>
      <c r="I21" s="114"/>
      <c r="J21" s="114"/>
      <c r="K21" s="114"/>
      <c r="L21" s="114"/>
      <c r="M21" s="114"/>
      <c r="N21" s="252"/>
      <c r="O21" s="20"/>
      <c r="P21" s="20"/>
      <c r="Q21" s="20"/>
      <c r="R21" s="20"/>
      <c r="S21" s="20"/>
      <c r="T21" s="20"/>
      <c r="U21" s="6"/>
      <c r="V21" s="20"/>
    </row>
    <row r="22" spans="1:22" ht="12.75" customHeight="1">
      <c r="A22" s="276"/>
      <c r="B22" s="20"/>
      <c r="C22" s="20"/>
      <c r="D22" s="20"/>
      <c r="E22" s="114"/>
      <c r="F22" s="114"/>
      <c r="G22" s="114"/>
      <c r="H22" s="114"/>
      <c r="I22" s="114"/>
      <c r="J22" s="114"/>
      <c r="K22" s="114"/>
      <c r="L22" s="114"/>
      <c r="M22" s="114"/>
      <c r="N22" s="252"/>
      <c r="O22" s="20"/>
      <c r="P22" s="20"/>
      <c r="Q22" s="20"/>
      <c r="R22" s="20"/>
      <c r="S22" s="20"/>
      <c r="T22" s="20"/>
      <c r="U22" s="6"/>
      <c r="V22" s="20"/>
    </row>
    <row r="23" spans="1:22" ht="12.75" customHeight="1">
      <c r="A23" s="276"/>
      <c r="B23" s="20"/>
      <c r="C23" s="20"/>
      <c r="D23" s="20"/>
      <c r="E23" s="114"/>
      <c r="F23" s="114"/>
      <c r="G23" s="114"/>
      <c r="H23" s="114"/>
      <c r="I23" s="114"/>
      <c r="J23" s="114"/>
      <c r="K23" s="114"/>
      <c r="L23" s="114"/>
      <c r="M23" s="114"/>
      <c r="N23" s="252"/>
      <c r="O23" s="20"/>
      <c r="P23" s="20"/>
      <c r="Q23" s="20"/>
      <c r="R23" s="20"/>
      <c r="S23" s="20"/>
      <c r="T23" s="20"/>
      <c r="U23" s="6"/>
      <c r="V23" s="20"/>
    </row>
    <row r="24" spans="1:22" ht="12.75" customHeight="1">
      <c r="A24" s="276"/>
      <c r="B24" s="20"/>
      <c r="C24" s="20"/>
      <c r="D24" s="20"/>
      <c r="E24" s="114"/>
      <c r="F24" s="114"/>
      <c r="G24" s="114"/>
      <c r="H24" s="114"/>
      <c r="I24" s="114"/>
      <c r="J24" s="114"/>
      <c r="K24" s="114"/>
      <c r="L24" s="114"/>
      <c r="M24" s="114"/>
      <c r="N24" s="252"/>
      <c r="O24" s="20"/>
      <c r="P24" s="20"/>
      <c r="Q24" s="20"/>
      <c r="R24" s="20"/>
      <c r="S24" s="20"/>
      <c r="T24" s="20"/>
      <c r="U24" s="6"/>
      <c r="V24" s="20"/>
    </row>
    <row r="25" spans="1:22" ht="12.75" customHeight="1">
      <c r="A25" s="277"/>
      <c r="B25" s="114"/>
      <c r="C25" s="114"/>
      <c r="D25" s="114"/>
      <c r="E25" s="20"/>
      <c r="F25" s="114"/>
      <c r="G25" s="114"/>
      <c r="H25" s="114"/>
      <c r="I25" s="114"/>
      <c r="J25" s="114"/>
      <c r="K25" s="114"/>
      <c r="L25" s="114"/>
      <c r="M25" s="114"/>
      <c r="N25" s="252"/>
      <c r="O25" s="20"/>
      <c r="P25" s="20"/>
      <c r="Q25" s="20"/>
      <c r="R25" s="20"/>
      <c r="S25" s="20"/>
      <c r="T25" s="20"/>
      <c r="U25" s="6"/>
      <c r="V25" s="20"/>
    </row>
    <row r="26" spans="1:22" ht="12.75" customHeight="1">
      <c r="A26" s="934"/>
      <c r="B26" s="935"/>
      <c r="C26" s="935"/>
      <c r="D26" s="935"/>
      <c r="E26" s="935"/>
      <c r="F26" s="935"/>
      <c r="G26" s="935"/>
      <c r="H26" s="935"/>
      <c r="I26" s="935"/>
      <c r="J26" s="935"/>
      <c r="K26" s="935"/>
      <c r="L26" s="935"/>
      <c r="M26" s="935"/>
      <c r="N26" s="936"/>
      <c r="O26" s="20"/>
      <c r="P26" s="20"/>
      <c r="Q26" s="20"/>
      <c r="R26" s="20"/>
      <c r="S26" s="20"/>
      <c r="T26" s="20"/>
      <c r="U26" s="6"/>
      <c r="V26" s="20"/>
    </row>
    <row r="27" spans="1:22" ht="12.75" customHeight="1">
      <c r="A27" s="1016"/>
      <c r="B27" s="1017"/>
      <c r="C27" s="1017"/>
      <c r="D27" s="1017"/>
      <c r="E27" s="1017"/>
      <c r="F27" s="1017"/>
      <c r="G27" s="1017"/>
      <c r="H27" s="1017"/>
      <c r="I27" s="1017"/>
      <c r="J27" s="1017"/>
      <c r="K27" s="1017"/>
      <c r="L27" s="1017"/>
      <c r="M27" s="1017"/>
      <c r="N27" s="1018"/>
      <c r="O27" s="20"/>
      <c r="P27" s="20"/>
      <c r="Q27" s="20"/>
      <c r="R27" s="20"/>
      <c r="S27" s="20"/>
      <c r="T27" s="20"/>
      <c r="U27" s="6"/>
      <c r="V27" s="20"/>
    </row>
    <row r="28" spans="1:22" ht="12.75" customHeight="1">
      <c r="A28" s="1019"/>
      <c r="B28" s="1020"/>
      <c r="C28" s="1020"/>
      <c r="D28" s="1020"/>
      <c r="E28" s="1020"/>
      <c r="F28" s="1020"/>
      <c r="G28" s="1020"/>
      <c r="H28" s="1020"/>
      <c r="I28" s="1020"/>
      <c r="J28" s="1020"/>
      <c r="K28" s="1020"/>
      <c r="L28" s="1020"/>
      <c r="M28" s="1020"/>
      <c r="N28" s="1021"/>
      <c r="O28" s="20"/>
      <c r="P28" s="20"/>
      <c r="Q28" s="20"/>
      <c r="R28" s="20"/>
      <c r="S28" s="20"/>
      <c r="T28" s="20"/>
      <c r="U28" s="6"/>
      <c r="V28" s="20"/>
    </row>
    <row r="29" spans="1:22" ht="12.75" customHeight="1">
      <c r="A29" s="923"/>
      <c r="B29" s="924"/>
      <c r="C29" s="924"/>
      <c r="D29" s="924"/>
      <c r="E29" s="924"/>
      <c r="F29" s="924"/>
      <c r="G29" s="924"/>
      <c r="H29" s="924"/>
      <c r="I29" s="924"/>
      <c r="J29" s="924"/>
      <c r="K29" s="924"/>
      <c r="L29" s="924"/>
      <c r="M29" s="924"/>
      <c r="N29" s="925"/>
      <c r="O29" s="114"/>
      <c r="P29" s="114"/>
      <c r="Q29" s="114"/>
      <c r="R29" s="114"/>
      <c r="S29" s="114"/>
      <c r="T29" s="114"/>
      <c r="U29" s="114"/>
      <c r="V29" s="20"/>
    </row>
    <row r="30" spans="1:22" ht="12.75" customHeight="1">
      <c r="A30" s="278"/>
      <c r="B30" s="187"/>
      <c r="C30" s="188"/>
      <c r="D30" s="279"/>
      <c r="E30" s="279"/>
      <c r="F30" s="187"/>
      <c r="G30" s="279"/>
      <c r="H30" s="187"/>
      <c r="I30" s="279"/>
      <c r="J30" s="188"/>
      <c r="K30" s="279"/>
      <c r="L30" s="188"/>
      <c r="M30" s="279"/>
      <c r="N30" s="280"/>
      <c r="O30" s="114"/>
      <c r="P30" s="114"/>
      <c r="Q30" s="114"/>
      <c r="R30" s="114"/>
      <c r="S30" s="114"/>
      <c r="T30" s="114"/>
      <c r="U30" s="114"/>
      <c r="V30" s="20"/>
    </row>
    <row r="31" spans="1:22" ht="12.75" customHeight="1">
      <c r="N31" s="6"/>
      <c r="O31" s="6"/>
      <c r="P31" s="6"/>
      <c r="Q31" s="6"/>
      <c r="R31" s="6"/>
      <c r="S31" s="6"/>
      <c r="T31" s="6"/>
      <c r="U31" s="6"/>
      <c r="V31" s="20"/>
    </row>
    <row r="32" spans="1:22" ht="12.75" customHeight="1">
      <c r="N32" s="10"/>
      <c r="O32" s="10"/>
      <c r="P32" s="10"/>
      <c r="Q32" s="10"/>
      <c r="R32" s="10"/>
      <c r="S32" s="10"/>
      <c r="T32" s="10"/>
      <c r="U32" s="10"/>
      <c r="V32" s="20"/>
    </row>
    <row r="33" spans="1:22" ht="13.5" customHeight="1">
      <c r="N33" s="6"/>
      <c r="O33" s="6"/>
      <c r="P33" s="6"/>
      <c r="Q33" s="6"/>
      <c r="R33" s="6"/>
      <c r="S33" s="6"/>
      <c r="T33" s="6"/>
      <c r="U33" s="6"/>
      <c r="V33" s="20"/>
    </row>
    <row r="34" spans="1:22" ht="12.75" customHeight="1">
      <c r="A34" s="98"/>
      <c r="B34" s="98"/>
      <c r="C34" s="98"/>
      <c r="D34" s="98"/>
      <c r="E34" s="98"/>
      <c r="F34" s="98"/>
      <c r="G34" s="98"/>
      <c r="H34" s="98"/>
      <c r="I34" s="98"/>
      <c r="J34" s="98"/>
      <c r="K34" s="98"/>
      <c r="L34" s="98"/>
      <c r="M34" s="98"/>
      <c r="N34" s="99"/>
      <c r="O34" s="99"/>
      <c r="P34" s="99"/>
      <c r="Q34" s="99"/>
      <c r="R34" s="99"/>
      <c r="S34" s="99"/>
      <c r="T34" s="99"/>
      <c r="U34" s="99"/>
      <c r="V34" s="20"/>
    </row>
    <row r="35" spans="1:22" ht="12.75" customHeight="1">
      <c r="N35" s="20"/>
      <c r="O35" s="20"/>
      <c r="P35" s="20"/>
      <c r="Q35" s="20"/>
      <c r="R35" s="20"/>
      <c r="S35" s="20"/>
      <c r="T35" s="20"/>
      <c r="U35" s="20"/>
      <c r="V35" s="20"/>
    </row>
    <row r="36" spans="1:22" ht="12.75" customHeight="1">
      <c r="N36" s="20"/>
      <c r="O36" s="20"/>
      <c r="P36" s="20"/>
      <c r="Q36" s="20"/>
      <c r="R36" s="20"/>
      <c r="S36" s="20"/>
      <c r="T36" s="20"/>
      <c r="U36" s="20"/>
      <c r="V36" s="20"/>
    </row>
    <row r="37" spans="1:22" ht="12.75" customHeight="1">
      <c r="N37" s="20"/>
      <c r="O37" s="20"/>
      <c r="P37" s="20"/>
      <c r="Q37" s="20"/>
      <c r="R37" s="20"/>
      <c r="S37" s="20"/>
      <c r="T37" s="20"/>
      <c r="U37" s="20"/>
      <c r="V37" s="20"/>
    </row>
    <row r="38" spans="1:22" ht="12.75" customHeight="1">
      <c r="N38" s="20"/>
      <c r="O38" s="20"/>
      <c r="P38" s="20"/>
      <c r="Q38" s="20"/>
      <c r="R38" s="20"/>
      <c r="S38" s="20"/>
      <c r="T38" s="20"/>
      <c r="U38" s="20"/>
      <c r="V38" s="20"/>
    </row>
    <row r="39" spans="1:22" ht="12.75" customHeight="1"/>
    <row r="40" spans="1:22" ht="12.75" customHeight="1"/>
    <row r="41" spans="1:22" ht="12.75" customHeight="1"/>
    <row r="42" spans="1:22" ht="12.75" customHeight="1"/>
    <row r="43" spans="1:22" ht="12.75" customHeight="1"/>
    <row r="44" spans="1:22" ht="12.75" customHeight="1"/>
    <row r="45" spans="1:22" ht="12.75" customHeight="1"/>
    <row r="46" spans="1:22" ht="12.75" customHeight="1"/>
    <row r="47" spans="1:22" ht="12.75" customHeight="1"/>
    <row r="48" spans="1: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11">
    <mergeCell ref="B1:K1"/>
    <mergeCell ref="A7:N7"/>
    <mergeCell ref="A14:B14"/>
    <mergeCell ref="A15:B15"/>
    <mergeCell ref="A16:B16"/>
    <mergeCell ref="A26:N26"/>
    <mergeCell ref="A27:N27"/>
    <mergeCell ref="A28:N28"/>
    <mergeCell ref="A29:N29"/>
    <mergeCell ref="A17:B17"/>
    <mergeCell ref="A18:B18"/>
  </mergeCells>
  <phoneticPr fontId="54" type="noConversion"/>
  <pageMargins left="0.25" right="0.25" top="0.75" bottom="0.75" header="0.3" footer="0.3"/>
  <pageSetup paperSize="9" scale="93" fitToHeight="0"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1"/>
  <sheetViews>
    <sheetView zoomScale="85" zoomScaleNormal="85" workbookViewId="0">
      <selection activeCell="B90" sqref="B90"/>
    </sheetView>
  </sheetViews>
  <sheetFormatPr defaultColWidth="14.42578125" defaultRowHeight="12.75"/>
  <cols>
    <col min="1" max="1" width="8.7109375" style="308" customWidth="1"/>
    <col min="2" max="2" width="62.85546875" style="308" customWidth="1"/>
    <col min="3" max="3" width="17.28515625" style="308" customWidth="1"/>
    <col min="4" max="4" width="11.85546875" style="308" customWidth="1"/>
    <col min="5" max="5" width="11.85546875" style="308" bestFit="1" customWidth="1"/>
    <col min="6" max="6" width="7.42578125" style="308" bestFit="1" customWidth="1"/>
    <col min="7" max="7" width="21.85546875" style="308" customWidth="1"/>
    <col min="8" max="8" width="9.5703125" style="562" customWidth="1"/>
    <col min="9" max="9" width="15.85546875" style="308" customWidth="1"/>
    <col min="10" max="10" width="12.140625" style="89" bestFit="1" customWidth="1"/>
    <col min="11" max="11" width="24.42578125" style="443" bestFit="1" customWidth="1"/>
    <col min="12" max="12" width="54.140625" style="89" customWidth="1"/>
    <col min="13" max="14" width="7.7109375" style="89" customWidth="1"/>
    <col min="15" max="15" width="12.85546875" style="89" customWidth="1"/>
    <col min="16" max="16" width="8.140625" style="89" customWidth="1"/>
    <col min="17" max="17" width="12.85546875" style="89" customWidth="1"/>
    <col min="18" max="18" width="8.85546875" style="89" customWidth="1"/>
    <col min="19" max="19" width="12.5703125" style="89" customWidth="1"/>
    <col min="20" max="20" width="10.85546875" style="89" customWidth="1"/>
    <col min="21" max="16384" width="14.42578125" style="89"/>
  </cols>
  <sheetData>
    <row r="1" spans="1:21" ht="18.75">
      <c r="A1" s="328"/>
      <c r="B1" s="302"/>
      <c r="C1" s="302"/>
      <c r="D1" s="302"/>
      <c r="E1" s="302"/>
      <c r="F1" s="302"/>
      <c r="G1" s="302"/>
      <c r="H1" s="554"/>
      <c r="L1" s="10"/>
      <c r="M1" s="10"/>
      <c r="N1" s="10"/>
      <c r="O1" s="10"/>
      <c r="P1" s="10"/>
      <c r="Q1" s="10"/>
      <c r="R1" s="10"/>
      <c r="S1" s="10"/>
      <c r="T1" s="10"/>
      <c r="U1" s="20"/>
    </row>
    <row r="2" spans="1:21" ht="14.25">
      <c r="A2" s="655" t="str">
        <f>DADOS!D7</f>
        <v>PREFEITURA MUNICIPAL DE NAVIRAÍ</v>
      </c>
      <c r="B2" s="302"/>
      <c r="C2" s="566"/>
      <c r="D2" s="656" t="s">
        <v>398</v>
      </c>
      <c r="E2" s="566"/>
      <c r="F2" s="566"/>
      <c r="G2" s="566"/>
      <c r="H2" s="657"/>
      <c r="I2" s="20"/>
      <c r="L2" s="338"/>
      <c r="M2" s="338"/>
      <c r="N2" s="338"/>
      <c r="O2" s="338"/>
      <c r="P2" s="338"/>
      <c r="Q2" s="338"/>
      <c r="R2" s="338"/>
      <c r="S2" s="338"/>
      <c r="T2" s="338"/>
      <c r="U2" s="20"/>
    </row>
    <row r="3" spans="1:21" ht="14.25">
      <c r="A3" s="159" t="str">
        <f>CONCATENATE("PROJETO: ",DADOS!D12)</f>
        <v>PROJETO: REFORMA CRECHE EVA MORAES DE OLIVEIRA</v>
      </c>
      <c r="B3" s="303"/>
      <c r="C3" s="552"/>
      <c r="D3" s="606" t="s">
        <v>359</v>
      </c>
      <c r="E3" s="20"/>
      <c r="F3" s="552"/>
      <c r="G3" s="552"/>
      <c r="H3" s="555"/>
      <c r="I3" s="18"/>
      <c r="J3" s="336"/>
      <c r="K3" s="444"/>
      <c r="L3" s="18"/>
      <c r="M3" s="18"/>
      <c r="N3" s="18"/>
      <c r="O3" s="339"/>
      <c r="P3" s="339"/>
      <c r="Q3" s="339"/>
      <c r="R3" s="339"/>
      <c r="S3" s="339"/>
      <c r="T3" s="339"/>
      <c r="U3" s="20"/>
    </row>
    <row r="4" spans="1:21" ht="14.25">
      <c r="A4" s="160" t="str">
        <f>CONCATENATE("LOCAL: ",DADOS!D8)</f>
        <v>LOCAL: AV. PONTA PORÃ, 858 - NAVIRAÍ</v>
      </c>
      <c r="B4" s="303"/>
      <c r="C4" s="552"/>
      <c r="D4" s="606" t="s">
        <v>355</v>
      </c>
      <c r="E4" s="20"/>
      <c r="F4" s="552"/>
      <c r="G4" s="552"/>
      <c r="H4" s="555"/>
      <c r="I4" s="18"/>
      <c r="J4" s="336"/>
      <c r="K4" s="444"/>
      <c r="L4" s="18"/>
      <c r="M4" s="18"/>
      <c r="N4" s="18"/>
      <c r="O4" s="339"/>
      <c r="P4" s="339"/>
      <c r="Q4" s="339"/>
      <c r="R4" s="339"/>
      <c r="S4" s="339"/>
      <c r="T4" s="339"/>
      <c r="U4" s="20"/>
    </row>
    <row r="5" spans="1:21" ht="14.25">
      <c r="A5" s="160" t="str">
        <f>CONCATENATE(DADOS!D13)</f>
        <v>ENCARGOS SOCIAIS DESONERADOS: 83,00%(HORA) 46,50%(MÊS)</v>
      </c>
      <c r="B5" s="303"/>
      <c r="C5" s="552"/>
      <c r="D5" s="156" t="str">
        <f>CONCATENATE("BDI: ",DADOS!D14)</f>
        <v>BDI: 28,82%</v>
      </c>
      <c r="E5" s="20"/>
      <c r="F5" s="552"/>
      <c r="G5" s="552"/>
      <c r="H5" s="555"/>
      <c r="I5" s="18"/>
      <c r="J5" s="336"/>
      <c r="K5" s="444"/>
      <c r="L5" s="18"/>
      <c r="M5" s="18"/>
      <c r="N5" s="18"/>
      <c r="O5" s="339"/>
      <c r="P5" s="339"/>
      <c r="Q5" s="339"/>
      <c r="R5" s="339"/>
      <c r="S5" s="339"/>
      <c r="T5" s="339"/>
      <c r="U5" s="20"/>
    </row>
    <row r="6" spans="1:21">
      <c r="A6" s="330"/>
      <c r="B6" s="303"/>
      <c r="C6" s="552"/>
      <c r="D6" s="552"/>
      <c r="E6" s="552"/>
      <c r="F6" s="552"/>
      <c r="G6" s="552"/>
      <c r="H6" s="555"/>
      <c r="I6" s="18"/>
      <c r="J6" s="336"/>
      <c r="K6" s="444"/>
      <c r="L6" s="18"/>
      <c r="M6" s="18"/>
      <c r="N6" s="18"/>
      <c r="O6" s="339"/>
      <c r="P6" s="339"/>
      <c r="Q6" s="339"/>
      <c r="R6" s="339"/>
      <c r="S6" s="339"/>
      <c r="T6" s="339"/>
      <c r="U6" s="20"/>
    </row>
    <row r="7" spans="1:21" ht="14.25">
      <c r="A7" s="186"/>
      <c r="B7" s="303"/>
      <c r="C7" s="303"/>
      <c r="D7" s="303"/>
      <c r="E7" s="303"/>
      <c r="F7" s="303"/>
      <c r="G7" s="303"/>
      <c r="H7" s="556"/>
      <c r="I7" s="482"/>
      <c r="K7" s="444"/>
      <c r="L7" s="20"/>
      <c r="M7" s="20"/>
      <c r="N7" s="20"/>
      <c r="O7" s="20"/>
      <c r="P7" s="20"/>
      <c r="Q7" s="20"/>
      <c r="R7" s="20"/>
      <c r="S7" s="20"/>
      <c r="T7" s="20"/>
      <c r="U7" s="20"/>
    </row>
    <row r="8" spans="1:21" ht="18">
      <c r="A8" s="983" t="s">
        <v>0</v>
      </c>
      <c r="B8" s="984"/>
      <c r="C8" s="985"/>
      <c r="D8" s="985"/>
      <c r="E8" s="985"/>
      <c r="F8" s="985"/>
      <c r="G8" s="985"/>
      <c r="H8" s="986"/>
      <c r="I8" s="482"/>
      <c r="K8" s="444"/>
      <c r="L8" s="20"/>
      <c r="M8" s="20"/>
      <c r="N8" s="20"/>
      <c r="O8" s="20"/>
      <c r="P8" s="20"/>
      <c r="Q8" s="20"/>
      <c r="R8" s="20"/>
      <c r="S8" s="20"/>
      <c r="T8" s="20"/>
      <c r="U8" s="20"/>
    </row>
    <row r="9" spans="1:21">
      <c r="A9" s="329"/>
      <c r="B9" s="8"/>
      <c r="C9" s="8"/>
      <c r="D9" s="8"/>
      <c r="E9" s="313"/>
      <c r="F9" s="313"/>
      <c r="G9" s="314"/>
      <c r="H9" s="557"/>
      <c r="I9" s="482"/>
    </row>
    <row r="10" spans="1:21">
      <c r="A10" s="578" t="s">
        <v>2</v>
      </c>
      <c r="B10" s="578" t="s">
        <v>3</v>
      </c>
      <c r="C10" s="988" t="s">
        <v>47</v>
      </c>
      <c r="D10" s="989"/>
      <c r="E10" s="989"/>
      <c r="F10" s="989"/>
      <c r="G10" s="990"/>
      <c r="H10" s="575" t="s">
        <v>36</v>
      </c>
      <c r="I10" s="482"/>
    </row>
    <row r="11" spans="1:21">
      <c r="A11" s="576" t="s">
        <v>8</v>
      </c>
      <c r="B11" s="577" t="s">
        <v>9</v>
      </c>
      <c r="C11" s="991"/>
      <c r="D11" s="991"/>
      <c r="E11" s="991"/>
      <c r="F11" s="991"/>
      <c r="G11" s="991"/>
      <c r="H11" s="558"/>
      <c r="I11" s="482"/>
    </row>
    <row r="12" spans="1:21">
      <c r="A12" s="205" t="s">
        <v>10</v>
      </c>
      <c r="B12" s="579" t="str">
        <f>PLANILHA!D11</f>
        <v>PLACA DE OBRA EM CHAPA DE ACO GALVANIZADO</v>
      </c>
      <c r="C12" s="992" t="s">
        <v>212</v>
      </c>
      <c r="D12" s="992"/>
      <c r="E12" s="992"/>
      <c r="F12" s="992"/>
      <c r="G12" s="992"/>
      <c r="H12" s="580">
        <v>7.88</v>
      </c>
      <c r="I12" s="482"/>
    </row>
    <row r="13" spans="1:21" ht="25.5">
      <c r="A13" s="13" t="s">
        <v>12</v>
      </c>
      <c r="B13" s="12" t="str">
        <f>PLANILHA!D12</f>
        <v>EXECUÇÃO DE DEPÓSITO EM CANTEIRO DE OBRA EM CHAPA DE MADEIRA COMPENSADA, NÃO INCLUSO MOBILIÁRIO. AF_04/2016</v>
      </c>
      <c r="C13" s="982" t="s">
        <v>341</v>
      </c>
      <c r="D13" s="982"/>
      <c r="E13" s="982"/>
      <c r="F13" s="982"/>
      <c r="G13" s="982"/>
      <c r="H13" s="486">
        <v>12</v>
      </c>
      <c r="I13" s="482"/>
    </row>
    <row r="14" spans="1:21">
      <c r="A14" s="13" t="s">
        <v>13</v>
      </c>
      <c r="B14" s="12" t="str">
        <f>PLANILHA!D13</f>
        <v>TAPUME COM COMPENSADO DE MADEIRA. AF_05/2018</v>
      </c>
      <c r="C14" s="982" t="s">
        <v>324</v>
      </c>
      <c r="D14" s="982"/>
      <c r="E14" s="982"/>
      <c r="F14" s="982"/>
      <c r="G14" s="982"/>
      <c r="H14" s="486">
        <f>40*2</f>
        <v>80</v>
      </c>
      <c r="I14" s="482"/>
    </row>
    <row r="15" spans="1:21" ht="38.25">
      <c r="A15" s="13" t="s">
        <v>46</v>
      </c>
      <c r="B15" s="12" t="str">
        <f>PLANILHA!D14</f>
        <v>EXECUÇÃO DE ESCRITÓRIO EM CANTEIRO DE OBRA EM CHAPA DE MADEIRA COMPENSADA, NÃO INCLUSO MOBILIÁRIO E EQUIPAMENTOS. AF_02/2016</v>
      </c>
      <c r="C15" s="982" t="s">
        <v>341</v>
      </c>
      <c r="D15" s="982"/>
      <c r="E15" s="982"/>
      <c r="F15" s="982"/>
      <c r="G15" s="982"/>
      <c r="H15" s="486">
        <v>12</v>
      </c>
      <c r="I15" s="482"/>
    </row>
    <row r="16" spans="1:21" ht="38.25">
      <c r="A16" s="13" t="s">
        <v>339</v>
      </c>
      <c r="B16" s="12" t="str">
        <f>PLANILHA!D15</f>
        <v>EXECUÇÃO DE REFEITÓRIO EM CANTEIRO DE OBRA EM CHAPA DE MADEIRA COMPENSADA, NÃO INCLUSO MOBILIÁRIO E EQUIPAMENTOS. AF_02/2016</v>
      </c>
      <c r="C16" s="982" t="s">
        <v>213</v>
      </c>
      <c r="D16" s="982"/>
      <c r="E16" s="982"/>
      <c r="F16" s="982"/>
      <c r="G16" s="982"/>
      <c r="H16" s="486">
        <v>8</v>
      </c>
      <c r="I16" s="482"/>
    </row>
    <row r="17" spans="1:15" s="191" customFormat="1">
      <c r="A17" s="340" t="s">
        <v>340</v>
      </c>
      <c r="B17" s="341" t="str">
        <f>PLANILHA!D16</f>
        <v>LOCACAO DE CACAMBA (4M3) (7 DIAS) /UN</v>
      </c>
      <c r="C17" s="987" t="s">
        <v>45</v>
      </c>
      <c r="D17" s="987"/>
      <c r="E17" s="987"/>
      <c r="F17" s="987"/>
      <c r="G17" s="987"/>
      <c r="H17" s="581">
        <v>30</v>
      </c>
      <c r="I17" s="652"/>
    </row>
    <row r="18" spans="1:15">
      <c r="A18" s="204" t="s">
        <v>16</v>
      </c>
      <c r="B18" s="304" t="str">
        <f>PLANILHA!D19</f>
        <v>REFORMA</v>
      </c>
      <c r="C18" s="991"/>
      <c r="D18" s="991"/>
      <c r="E18" s="991"/>
      <c r="F18" s="991"/>
      <c r="G18" s="991"/>
      <c r="H18" s="558"/>
      <c r="I18" s="482"/>
    </row>
    <row r="19" spans="1:15">
      <c r="A19" s="204" t="str">
        <f>PLANILHA!A20</f>
        <v>2.1</v>
      </c>
      <c r="B19" s="304" t="str">
        <f>PLANILHA!D20</f>
        <v>DEMOLIÇÕES E RETIRADAS</v>
      </c>
      <c r="C19" s="602"/>
      <c r="D19" s="602"/>
      <c r="E19" s="602"/>
      <c r="F19" s="602"/>
      <c r="G19" s="602"/>
      <c r="H19" s="558"/>
      <c r="I19" s="482"/>
    </row>
    <row r="20" spans="1:15">
      <c r="A20" s="301" t="str">
        <f>PLANILHA!A21</f>
        <v>2.1.1</v>
      </c>
      <c r="B20" s="305" t="str">
        <f>PLANILHA!D21</f>
        <v>DEMOLIÇÃO</v>
      </c>
      <c r="C20" s="315"/>
      <c r="D20" s="315"/>
      <c r="E20" s="315"/>
      <c r="F20" s="315"/>
      <c r="G20" s="315"/>
      <c r="H20" s="559"/>
      <c r="I20" s="482"/>
    </row>
    <row r="21" spans="1:15" ht="25.5">
      <c r="A21" s="205" t="str">
        <f>PLANILHA!A22</f>
        <v>2.1.1.1</v>
      </c>
      <c r="B21" s="206" t="str">
        <f>PLANILHA!D22</f>
        <v>DEMOLIÇÃO DE REVESTIMENTO CERÂMICO, DE FORMA MECANIZADA COM MARTELETE, SEM REAPROVEITAMENTO. AF_12/2017</v>
      </c>
      <c r="C21" s="993" t="s">
        <v>316</v>
      </c>
      <c r="D21" s="993"/>
      <c r="E21" s="993"/>
      <c r="F21" s="993"/>
      <c r="G21" s="993"/>
      <c r="H21" s="678">
        <v>204.66</v>
      </c>
      <c r="I21" s="482"/>
    </row>
    <row r="22" spans="1:15" ht="72">
      <c r="A22" s="13" t="str">
        <f>PLANILHA!A23</f>
        <v>2.1.1.2</v>
      </c>
      <c r="B22" s="679" t="str">
        <f>PLANILHA!D23</f>
        <v>DEMOLIÇÃO DE ARGAMASSAS, DE FORMA MANUAL, SEM REAPROVEITAMENTO. AF_12/2017</v>
      </c>
      <c r="C22" s="982" t="s">
        <v>338</v>
      </c>
      <c r="D22" s="982"/>
      <c r="E22" s="982"/>
      <c r="F22" s="982"/>
      <c r="G22" s="982"/>
      <c r="H22" s="524">
        <v>583.70000000000005</v>
      </c>
      <c r="I22" s="482"/>
      <c r="J22" s="723" t="s">
        <v>401</v>
      </c>
      <c r="K22" s="723" t="s">
        <v>402</v>
      </c>
      <c r="L22" s="724" t="s">
        <v>403</v>
      </c>
      <c r="M22" s="723" t="s">
        <v>14</v>
      </c>
      <c r="N22" s="725" t="s">
        <v>404</v>
      </c>
      <c r="O22" s="725" t="s">
        <v>405</v>
      </c>
    </row>
    <row r="23" spans="1:15" ht="36">
      <c r="A23" s="671" t="str">
        <f>PLANILHA!A24</f>
        <v>2.1.1.3</v>
      </c>
      <c r="B23" s="680" t="str">
        <f>PLANILHA!D24</f>
        <v>DEMOLICAO DE FORRO DE TABUAS DE PINHO /M2</v>
      </c>
      <c r="C23" s="969" t="s">
        <v>322</v>
      </c>
      <c r="D23" s="969"/>
      <c r="E23" s="969"/>
      <c r="F23" s="969"/>
      <c r="G23" s="969"/>
      <c r="H23" s="681">
        <f>H34-H33</f>
        <v>383.90000000000003</v>
      </c>
      <c r="I23" s="482"/>
      <c r="J23" s="723" t="s">
        <v>406</v>
      </c>
      <c r="K23" s="723" t="s">
        <v>407</v>
      </c>
      <c r="L23" s="724" t="s">
        <v>408</v>
      </c>
      <c r="M23" s="723" t="s">
        <v>409</v>
      </c>
      <c r="N23" s="725" t="s">
        <v>410</v>
      </c>
      <c r="O23" s="725" t="s">
        <v>404</v>
      </c>
    </row>
    <row r="24" spans="1:15" ht="36">
      <c r="A24" s="204" t="str">
        <f>PLANILHA!A27</f>
        <v>2.1.2</v>
      </c>
      <c r="B24" s="304" t="str">
        <f>PLANILHA!D27</f>
        <v>RETIRADA</v>
      </c>
      <c r="C24" s="602"/>
      <c r="D24" s="602"/>
      <c r="E24" s="602"/>
      <c r="F24" s="602"/>
      <c r="G24" s="602"/>
      <c r="H24" s="558"/>
      <c r="I24" s="482"/>
      <c r="J24" s="723" t="s">
        <v>406</v>
      </c>
      <c r="K24" s="723" t="s">
        <v>411</v>
      </c>
      <c r="L24" s="724" t="s">
        <v>412</v>
      </c>
      <c r="M24" s="723" t="s">
        <v>409</v>
      </c>
      <c r="N24" s="725" t="s">
        <v>413</v>
      </c>
      <c r="O24" s="725" t="s">
        <v>404</v>
      </c>
    </row>
    <row r="25" spans="1:15" s="493" customFormat="1" ht="36">
      <c r="A25" s="658" t="str">
        <f>PLANILHA!A28</f>
        <v>2.1.2.1</v>
      </c>
      <c r="B25" s="659" t="str">
        <f>PLANILHA!D28</f>
        <v>REMOÇÃO DE TELHAS, DE FIBROCIMENTO, METÁLICA E CERÂMICA, DE FORMA MANUAL, SEM REAPROVEITAMENTO. AF_12/2017</v>
      </c>
      <c r="C25" s="974" t="s">
        <v>317</v>
      </c>
      <c r="D25" s="975"/>
      <c r="E25" s="975"/>
      <c r="F25" s="975"/>
      <c r="G25" s="976"/>
      <c r="H25" s="494">
        <v>807</v>
      </c>
      <c r="I25" s="653"/>
      <c r="J25" s="723" t="s">
        <v>406</v>
      </c>
      <c r="K25" s="723" t="s">
        <v>414</v>
      </c>
      <c r="L25" s="724" t="s">
        <v>415</v>
      </c>
      <c r="M25" s="723" t="s">
        <v>409</v>
      </c>
      <c r="N25" s="725" t="s">
        <v>416</v>
      </c>
      <c r="O25" s="725" t="s">
        <v>404</v>
      </c>
    </row>
    <row r="26" spans="1:15" s="493" customFormat="1" ht="36">
      <c r="A26" s="658" t="str">
        <f>PLANILHA!A29</f>
        <v>2.1.2.2</v>
      </c>
      <c r="B26" s="659" t="str">
        <f>PLANILHA!D29</f>
        <v>REMOÇÃO DE TRAMA DE MADEIRA PARA COBERTURA, DE FORMA MANUAL, SEM REAPROVEITAMENTO. AF_12/2017</v>
      </c>
      <c r="C26" s="974" t="s">
        <v>317</v>
      </c>
      <c r="D26" s="975"/>
      <c r="E26" s="975"/>
      <c r="F26" s="975"/>
      <c r="G26" s="976"/>
      <c r="H26" s="494">
        <v>807</v>
      </c>
      <c r="I26" s="653"/>
      <c r="J26" s="723" t="s">
        <v>417</v>
      </c>
      <c r="K26" s="723" t="s">
        <v>418</v>
      </c>
      <c r="L26" s="724" t="s">
        <v>419</v>
      </c>
      <c r="M26" s="723" t="s">
        <v>420</v>
      </c>
      <c r="N26" s="725" t="s">
        <v>421</v>
      </c>
      <c r="O26" s="725" t="s">
        <v>404</v>
      </c>
    </row>
    <row r="27" spans="1:15" s="493" customFormat="1" ht="36">
      <c r="A27" s="658" t="str">
        <f>PLANILHA!A30</f>
        <v>2.1.2.3</v>
      </c>
      <c r="B27" s="659" t="str">
        <f>PLANILHA!D30</f>
        <v>RETIRADA DE PINTURA ANTIGA A OLEO OU ESMALTE /M2</v>
      </c>
      <c r="C27" s="978" t="s">
        <v>335</v>
      </c>
      <c r="D27" s="979"/>
      <c r="E27" s="979"/>
      <c r="F27" s="979"/>
      <c r="G27" s="980"/>
      <c r="H27" s="524">
        <v>583.70000000000005</v>
      </c>
      <c r="I27" s="653"/>
      <c r="J27" s="723" t="s">
        <v>417</v>
      </c>
      <c r="K27" s="723" t="s">
        <v>422</v>
      </c>
      <c r="L27" s="724" t="s">
        <v>423</v>
      </c>
      <c r="M27" s="723" t="s">
        <v>420</v>
      </c>
      <c r="N27" s="725" t="s">
        <v>424</v>
      </c>
      <c r="O27" s="725" t="s">
        <v>404</v>
      </c>
    </row>
    <row r="28" spans="1:15" s="336" customFormat="1" ht="48">
      <c r="A28" s="658" t="str">
        <f>PLANILHA!A31</f>
        <v>2.1.2.4</v>
      </c>
      <c r="B28" s="659" t="str">
        <f>PLANILHA!D31</f>
        <v>REMOÇÃO DE LOUÇAS, DE FORMA MANUAL, SEM REAPROVEITAMENTO. AF_12/2017</v>
      </c>
      <c r="C28" s="970" t="s">
        <v>275</v>
      </c>
      <c r="D28" s="971"/>
      <c r="E28" s="971"/>
      <c r="F28" s="971"/>
      <c r="G28" s="972"/>
      <c r="H28" s="494">
        <v>11</v>
      </c>
      <c r="I28" s="318"/>
      <c r="J28" s="723" t="s">
        <v>417</v>
      </c>
      <c r="K28" s="723" t="s">
        <v>425</v>
      </c>
      <c r="L28" s="724" t="s">
        <v>426</v>
      </c>
      <c r="M28" s="723" t="s">
        <v>14</v>
      </c>
      <c r="N28" s="725" t="s">
        <v>427</v>
      </c>
      <c r="O28" s="725" t="s">
        <v>404</v>
      </c>
    </row>
    <row r="29" spans="1:15" s="497" customFormat="1" ht="25.5">
      <c r="A29" s="658" t="str">
        <f>PLANILHA!A32</f>
        <v>2.1.2.5</v>
      </c>
      <c r="B29" s="659" t="str">
        <f>PLANILHA!D32</f>
        <v>REMOÇÃO DE METAIS SANITÁRIOS, DE FORMA MANUAL, SEM REAPROVEITAMENTO. AF_12/2017</v>
      </c>
      <c r="C29" s="970" t="s">
        <v>275</v>
      </c>
      <c r="D29" s="971"/>
      <c r="E29" s="971"/>
      <c r="F29" s="971"/>
      <c r="G29" s="972"/>
      <c r="H29" s="494">
        <v>25</v>
      </c>
      <c r="I29" s="495"/>
      <c r="J29" s="496"/>
      <c r="K29" s="491"/>
      <c r="L29" s="496"/>
      <c r="M29" s="531"/>
    </row>
    <row r="30" spans="1:15" ht="25.5">
      <c r="A30" s="658" t="str">
        <f>PLANILHA!A33</f>
        <v>2.1.2.6</v>
      </c>
      <c r="B30" s="659" t="str">
        <f>PLANILHA!D33</f>
        <v>REMOÇÃO DE ACESSÓRIOS, DE FORMA MANUAL, SEM REAPROVEITAMENTO. AF_12/2017</v>
      </c>
      <c r="C30" s="970" t="s">
        <v>275</v>
      </c>
      <c r="D30" s="971"/>
      <c r="E30" s="971"/>
      <c r="F30" s="971"/>
      <c r="G30" s="972"/>
      <c r="H30" s="494">
        <v>16</v>
      </c>
      <c r="I30" s="303"/>
      <c r="J30" s="333"/>
      <c r="K30" s="726">
        <f>41.35/4</f>
        <v>10.3375</v>
      </c>
      <c r="L30" s="333">
        <f>$K$33*N23</f>
        <v>957.47300000000007</v>
      </c>
      <c r="M30" s="334"/>
    </row>
    <row r="31" spans="1:15" ht="25.5">
      <c r="A31" s="658" t="str">
        <f>PLANILHA!A34</f>
        <v>2.1.2.7</v>
      </c>
      <c r="B31" s="659" t="str">
        <f>PLANILHA!D34</f>
        <v>REMOÇÃO DE PORTAS, DE FORMA MANUAL, SEM REAPROVEITAMENTO. AF_12/2017</v>
      </c>
      <c r="C31" s="970" t="s">
        <v>275</v>
      </c>
      <c r="D31" s="971"/>
      <c r="E31" s="971"/>
      <c r="F31" s="971"/>
      <c r="G31" s="972"/>
      <c r="H31" s="494">
        <v>30.72</v>
      </c>
      <c r="I31" s="303"/>
      <c r="J31" s="333"/>
      <c r="K31" s="726">
        <f>21.87/4</f>
        <v>5.4675000000000002</v>
      </c>
      <c r="L31" s="333">
        <f t="shared" ref="L31:L32" si="0">$K$33*N24</f>
        <v>9.3762899999999991</v>
      </c>
      <c r="M31" s="334"/>
      <c r="N31" s="89">
        <f>K33*N23</f>
        <v>957.47300000000007</v>
      </c>
    </row>
    <row r="32" spans="1:15" ht="25.5">
      <c r="A32" s="658" t="str">
        <f>PLANILHA!A35</f>
        <v>2.1.2.8</v>
      </c>
      <c r="B32" s="659" t="str">
        <f>PLANILHA!D35</f>
        <v>REMOÇÃO DE JANELAS, DE FORMA MANUAL, SEM REAPROVEITAMENTO. AF_12/2017</v>
      </c>
      <c r="C32" s="970" t="s">
        <v>275</v>
      </c>
      <c r="D32" s="971"/>
      <c r="E32" s="971"/>
      <c r="F32" s="971"/>
      <c r="G32" s="972"/>
      <c r="H32" s="494">
        <v>12</v>
      </c>
      <c r="I32" s="303"/>
      <c r="J32" s="333"/>
      <c r="K32" s="726">
        <f>36/4</f>
        <v>9</v>
      </c>
      <c r="L32" s="333">
        <f t="shared" si="0"/>
        <v>2290.4937</v>
      </c>
      <c r="M32" s="334"/>
      <c r="N32" s="89">
        <f>K33*N24</f>
        <v>9.3762899999999991</v>
      </c>
    </row>
    <row r="33" spans="1:15" ht="25.5">
      <c r="A33" s="658" t="str">
        <f>PLANILHA!A36</f>
        <v>2.1.2.9</v>
      </c>
      <c r="B33" s="659" t="str">
        <f>PLANILHA!D36</f>
        <v>REMOÇÃO DE FORROS DE DRYWALL, PVC E FIBROMINERAL, DE FORMA MANUAL, SEM REAPROVEITAMENTO. AF_12/2017</v>
      </c>
      <c r="C33" s="970" t="s">
        <v>394</v>
      </c>
      <c r="D33" s="971"/>
      <c r="E33" s="971"/>
      <c r="F33" s="971"/>
      <c r="G33" s="972"/>
      <c r="H33" s="494">
        <v>12.7</v>
      </c>
      <c r="I33" s="303"/>
      <c r="J33" s="333"/>
      <c r="K33" s="726">
        <f>SUM(K30:K32)</f>
        <v>24.805</v>
      </c>
      <c r="L33" s="333">
        <f>SUM(L30:L32)</f>
        <v>3257.3429900000001</v>
      </c>
      <c r="M33" s="334"/>
      <c r="N33" s="89">
        <f>K33*N25</f>
        <v>2290.4937</v>
      </c>
      <c r="O33" s="89">
        <f>SUM(N31:N33)</f>
        <v>3257.3429900000001</v>
      </c>
    </row>
    <row r="34" spans="1:15" ht="25.5">
      <c r="A34" s="658" t="str">
        <f>PLANILHA!A37</f>
        <v>2.1.2.11</v>
      </c>
      <c r="B34" s="659" t="str">
        <f>PLANILHA!D37</f>
        <v>REMOÇÃO DE TRAMA METÁLICA OU DE MADEIRA PARA FORRO, DE FORMA MANUAL, SEM REAPROVEITAMENTO. AF_12/2017</v>
      </c>
      <c r="C34" s="970" t="s">
        <v>275</v>
      </c>
      <c r="D34" s="971"/>
      <c r="E34" s="971"/>
      <c r="F34" s="971"/>
      <c r="G34" s="972"/>
      <c r="H34" s="494">
        <v>396.6</v>
      </c>
      <c r="I34" s="303"/>
      <c r="J34" s="333"/>
      <c r="K34" s="445">
        <f>K33*1500</f>
        <v>37207.5</v>
      </c>
      <c r="L34" s="333"/>
      <c r="M34" s="334"/>
      <c r="N34" s="89">
        <f>L32+L34+L33</f>
        <v>5547.8366900000001</v>
      </c>
    </row>
    <row r="35" spans="1:15">
      <c r="A35" s="658" t="str">
        <f>PLANILHA!A38</f>
        <v>2.1.2.12</v>
      </c>
      <c r="B35" s="659" t="str">
        <f>PLANILHA!D38</f>
        <v>REMOÇÃO DE CHUVEIRO ELÉTRICO COMUM CORPO PLÁSTICO</v>
      </c>
      <c r="C35" s="970" t="s">
        <v>275</v>
      </c>
      <c r="D35" s="971"/>
      <c r="E35" s="971"/>
      <c r="F35" s="971"/>
      <c r="G35" s="972"/>
      <c r="H35" s="494">
        <v>8</v>
      </c>
      <c r="I35" s="303"/>
      <c r="J35" s="333"/>
      <c r="K35" s="445"/>
      <c r="L35" s="333"/>
      <c r="M35" s="334"/>
    </row>
    <row r="36" spans="1:15">
      <c r="A36" s="204" t="str">
        <f>PLANILHA!A41</f>
        <v>2.2</v>
      </c>
      <c r="B36" s="306" t="str">
        <f>PLANILHA!D41</f>
        <v>ESTRUTURA DE CONCRETO ARMADO</v>
      </c>
      <c r="C36" s="602"/>
      <c r="D36" s="602"/>
      <c r="E36" s="602"/>
      <c r="F36" s="602"/>
      <c r="G36" s="602"/>
      <c r="H36" s="558"/>
      <c r="I36" s="303"/>
      <c r="J36" s="333"/>
      <c r="K36" s="445"/>
      <c r="L36" s="333"/>
      <c r="M36" s="334"/>
    </row>
    <row r="37" spans="1:15" ht="25.5">
      <c r="A37" s="658" t="str">
        <f>PLANILHA!A42</f>
        <v>2.2.1</v>
      </c>
      <c r="B37" s="659" t="str">
        <f>PLANILHA!D42</f>
        <v>REFORÇO ESTRUTURAL PARA ESTRURAS SOFRENDO RECALQUE DIFERENCIAL (BLOCO+PILAR)</v>
      </c>
      <c r="C37" s="970" t="s">
        <v>324</v>
      </c>
      <c r="D37" s="971"/>
      <c r="E37" s="971"/>
      <c r="F37" s="971"/>
      <c r="G37" s="972"/>
      <c r="H37" s="494">
        <v>2</v>
      </c>
      <c r="I37" s="303"/>
      <c r="J37" s="333"/>
      <c r="K37" s="445"/>
      <c r="L37" s="333"/>
      <c r="M37" s="334"/>
    </row>
    <row r="38" spans="1:15" ht="25.5">
      <c r="A38" s="658" t="str">
        <f>PLANILHA!A43</f>
        <v>2.2.2</v>
      </c>
      <c r="B38" s="659" t="str">
        <f>PLANILHA!D43</f>
        <v>VERGA PRÉ-MOLDADA PARA JANELAS COM MAIS DE 1,5 M DE VÃO. AF_03/2016</v>
      </c>
      <c r="C38" s="970" t="s">
        <v>328</v>
      </c>
      <c r="D38" s="971"/>
      <c r="E38" s="971"/>
      <c r="F38" s="971"/>
      <c r="G38" s="972"/>
      <c r="H38" s="494">
        <v>10.8</v>
      </c>
      <c r="I38" s="303"/>
      <c r="J38" s="333"/>
      <c r="K38" s="445"/>
      <c r="L38" s="333"/>
      <c r="M38" s="334"/>
    </row>
    <row r="39" spans="1:15" ht="25.5">
      <c r="A39" s="658" t="str">
        <f>PLANILHA!A44</f>
        <v>2.2.3</v>
      </c>
      <c r="B39" s="659" t="str">
        <f>PLANILHA!D44</f>
        <v>VERGA PRÉ-MOLDADA PARA PORTAS COM MAIS DE 1,5 M DE VÃO. AF_03/2016</v>
      </c>
      <c r="C39" s="970" t="s">
        <v>327</v>
      </c>
      <c r="D39" s="971"/>
      <c r="E39" s="971"/>
      <c r="F39" s="971"/>
      <c r="G39" s="972"/>
      <c r="H39" s="494">
        <v>7.2</v>
      </c>
      <c r="I39" s="303"/>
      <c r="J39" s="333"/>
      <c r="K39" s="445"/>
      <c r="L39" s="333"/>
      <c r="M39" s="334"/>
    </row>
    <row r="40" spans="1:15" ht="25.5">
      <c r="A40" s="658" t="str">
        <f>PLANILHA!A45</f>
        <v>2.2.4</v>
      </c>
      <c r="B40" s="659" t="str">
        <f>PLANILHA!D45</f>
        <v>CONTRAVERGA PRÉ-MOLDADA PARA VÃOS DE MAIS DE 1,5 M DE COMPRIMENTO. AF_03/2016</v>
      </c>
      <c r="C40" s="970" t="s">
        <v>328</v>
      </c>
      <c r="D40" s="971"/>
      <c r="E40" s="971"/>
      <c r="F40" s="971"/>
      <c r="G40" s="972"/>
      <c r="H40" s="494">
        <v>10.8</v>
      </c>
      <c r="I40" s="303"/>
      <c r="J40" s="333"/>
      <c r="K40" s="445"/>
      <c r="L40" s="333"/>
      <c r="M40" s="334"/>
    </row>
    <row r="41" spans="1:15">
      <c r="A41" s="204" t="str">
        <f>PLANILHA!A48</f>
        <v>2.3</v>
      </c>
      <c r="B41" s="306" t="str">
        <f>PLANILHA!D48</f>
        <v>COBERTURA</v>
      </c>
      <c r="C41" s="602"/>
      <c r="D41" s="602"/>
      <c r="E41" s="602"/>
      <c r="F41" s="602"/>
      <c r="G41" s="602"/>
      <c r="H41" s="558"/>
      <c r="I41" s="303"/>
      <c r="J41" s="333"/>
      <c r="K41" s="445"/>
      <c r="L41" s="333"/>
      <c r="M41" s="334"/>
    </row>
    <row r="42" spans="1:15" ht="51">
      <c r="A42" s="13" t="str">
        <f>PLANILHA!A49</f>
        <v>2.3.1</v>
      </c>
      <c r="B42" s="12" t="str">
        <f>PLANILHA!D49</f>
        <v>TELHAMENTO COM TELHA ONDULADA DE FIBROCIMENTO E = 6 MM, COM RECOBRIMENTO LATERAL DE 1 1/4 DE ONDA PARA TELHADO COM INCLINAÇÃO MÁXIMA DE 10°, COM ATÉ 2 ÁGUAS, INCLUSO IÇAMENTO. AF_07/2019</v>
      </c>
      <c r="C42" s="974" t="s">
        <v>317</v>
      </c>
      <c r="D42" s="975"/>
      <c r="E42" s="975"/>
      <c r="F42" s="975"/>
      <c r="G42" s="976"/>
      <c r="H42" s="494">
        <v>807</v>
      </c>
      <c r="I42" s="303"/>
      <c r="J42" s="333"/>
      <c r="K42" s="445"/>
      <c r="L42" s="333"/>
      <c r="M42" s="334"/>
    </row>
    <row r="43" spans="1:15" ht="51">
      <c r="A43" s="13" t="str">
        <f>PLANILHA!A50</f>
        <v>2.3.2</v>
      </c>
      <c r="B43" s="12" t="str">
        <f>PLANILHA!D50</f>
        <v>TRAMA DE AÇO COMPOSTA POR TERÇAS PARA TELHADOS DE ATÉ 2 ÁGUAS PARA TELHA ONDULADA DE FIBROCIMENTO, METÁLICA, PLÁSTICA OU TERMOACÚSTICA, INCLUSO TRANSPORTE VERTICAL. AF_07/2019</v>
      </c>
      <c r="C43" s="974" t="s">
        <v>317</v>
      </c>
      <c r="D43" s="975"/>
      <c r="E43" s="975"/>
      <c r="F43" s="975"/>
      <c r="G43" s="976"/>
      <c r="H43" s="494">
        <v>807</v>
      </c>
      <c r="I43" s="303"/>
      <c r="J43" s="333"/>
      <c r="K43" s="445"/>
      <c r="L43" s="333"/>
      <c r="M43" s="334"/>
    </row>
    <row r="44" spans="1:15" ht="38.25">
      <c r="A44" s="13" t="str">
        <f>PLANILHA!A51</f>
        <v>2.3.3</v>
      </c>
      <c r="B44" s="12" t="str">
        <f>PLANILHA!D51</f>
        <v>FABRICAÇÃO E INSTALAÇÃO DE TESOURA INTEIRA EM AÇO, VÃO DE 10 M, PARA TELHA ONDULADA DE FIBROCIMENTO, METÁLICA, PLÁSTICA OU TERMOACÚSTICA, INCLUSO IÇAMENTO. AF_12/2015</v>
      </c>
      <c r="C44" s="974" t="s">
        <v>317</v>
      </c>
      <c r="D44" s="975"/>
      <c r="E44" s="975"/>
      <c r="F44" s="975"/>
      <c r="G44" s="976"/>
      <c r="H44" s="494">
        <v>25</v>
      </c>
      <c r="I44" s="303"/>
      <c r="J44" s="333"/>
      <c r="K44" s="445"/>
      <c r="L44" s="333"/>
      <c r="M44" s="334"/>
    </row>
    <row r="45" spans="1:15" ht="25.5">
      <c r="A45" s="13" t="str">
        <f>PLANILHA!A52</f>
        <v>2.3.4</v>
      </c>
      <c r="B45" s="12" t="str">
        <f>PLANILHA!D52</f>
        <v>RUFO EM CHAPA DE AÇO GALVANIZADO NÚMERO 24, CORTE DE 25 CM, INCLUSO TRANSPORTE VERTICAL. AF_07/2019</v>
      </c>
      <c r="C45" s="974" t="s">
        <v>345</v>
      </c>
      <c r="D45" s="975"/>
      <c r="E45" s="975"/>
      <c r="F45" s="975"/>
      <c r="G45" s="976"/>
      <c r="H45" s="494">
        <v>89.41</v>
      </c>
      <c r="I45" s="303"/>
      <c r="J45" s="333"/>
      <c r="K45" s="445"/>
      <c r="L45" s="333"/>
      <c r="M45" s="334"/>
    </row>
    <row r="46" spans="1:15">
      <c r="A46" s="13" t="str">
        <f>PLANILHA!A53</f>
        <v>2.3.5</v>
      </c>
      <c r="B46" s="12" t="str">
        <f>PLANILHA!D53</f>
        <v>CHAPIM (RUFO CAPA) EM AÇO GALVANIZADO, CORTE 33. AF_11/2020</v>
      </c>
      <c r="C46" s="974" t="s">
        <v>348</v>
      </c>
      <c r="D46" s="975"/>
      <c r="E46" s="975"/>
      <c r="F46" s="975"/>
      <c r="G46" s="976"/>
      <c r="H46" s="494">
        <v>58.55</v>
      </c>
      <c r="I46" s="303"/>
      <c r="J46" s="333"/>
      <c r="K46" s="445"/>
      <c r="L46" s="333"/>
      <c r="M46" s="334"/>
    </row>
    <row r="47" spans="1:15" ht="38.25">
      <c r="A47" s="13" t="str">
        <f>PLANILHA!A54</f>
        <v>2.3.6</v>
      </c>
      <c r="B47" s="12" t="str">
        <f>PLANILHA!D54</f>
        <v>CALHA EM CHAPA DE AÇO GALVANIZADO NÚMERO 24, DESENVOLVIMENTO DE 33 CM, INCLUSO TRANSPORTE VERTICAL. AF_07/2019</v>
      </c>
      <c r="C47" s="974" t="s">
        <v>275</v>
      </c>
      <c r="D47" s="975"/>
      <c r="E47" s="975"/>
      <c r="F47" s="975"/>
      <c r="G47" s="976"/>
      <c r="H47" s="494">
        <v>79.760000000000005</v>
      </c>
      <c r="I47" s="303"/>
      <c r="J47" s="333"/>
      <c r="K47" s="445"/>
      <c r="L47" s="333"/>
      <c r="M47" s="334"/>
    </row>
    <row r="48" spans="1:15">
      <c r="A48" s="204" t="str">
        <f>PLANILHA!A57</f>
        <v>2.4</v>
      </c>
      <c r="B48" s="306" t="str">
        <f>PLANILHA!D57</f>
        <v>REVESTIMENTOS DE PAREDES E TETOS</v>
      </c>
      <c r="C48" s="602"/>
      <c r="D48" s="602"/>
      <c r="E48" s="602"/>
      <c r="F48" s="602"/>
      <c r="G48" s="602"/>
      <c r="H48" s="558"/>
      <c r="I48" s="303"/>
      <c r="J48" s="333"/>
      <c r="K48" s="445"/>
      <c r="L48" s="333"/>
      <c r="M48" s="334"/>
    </row>
    <row r="49" spans="1:16" ht="38.25">
      <c r="A49" s="205" t="str">
        <f>PLANILHA!A58</f>
        <v>2.4.1</v>
      </c>
      <c r="B49" s="579" t="str">
        <f>PLANILHA!D58</f>
        <v>CHAPISCO APLICADO EM ALVENARIAS E ESTRUTURAS DE CONCRETO INTERNAS, COM COLHER DE PEDREIRO.  ARGAMASSA TRAÇO 1:3 COM PREPARO MANUAL. AF_06/2014</v>
      </c>
      <c r="C49" s="994" t="s">
        <v>318</v>
      </c>
      <c r="D49" s="994"/>
      <c r="E49" s="994"/>
      <c r="F49" s="994"/>
      <c r="G49" s="994"/>
      <c r="H49" s="567">
        <v>34.11</v>
      </c>
      <c r="I49" s="303"/>
      <c r="J49" s="333"/>
      <c r="K49" s="445"/>
      <c r="L49" s="333"/>
      <c r="M49" s="334"/>
    </row>
    <row r="50" spans="1:16" ht="63.75">
      <c r="A50" s="13" t="str">
        <f>PLANILHA!A59</f>
        <v>2.4.2</v>
      </c>
      <c r="B50" s="12" t="str">
        <f>PLANILHA!D59</f>
        <v>(COMPOSIÇÃO REPRESENTATIVA) DO SERVIÇO DE EMBOÇO/MASSA ÚNICA, APLICADO MANUALMENTE, TRAÇO 1:2:8, EM BETONEIRA DE 400L, PAREDES INTERNAS, COM EXECUÇÃO DE TALISCAS, EDIFICAÇÃO HABITACIONAL UNIFAMILIAR (CASAS) E EDIFICAÇÃO PÚBLICA PADRÃO. AF_12/2014</v>
      </c>
      <c r="C50" s="982" t="s">
        <v>319</v>
      </c>
      <c r="D50" s="982"/>
      <c r="E50" s="982"/>
      <c r="F50" s="982"/>
      <c r="G50" s="982"/>
      <c r="H50" s="692">
        <v>318.36</v>
      </c>
      <c r="I50" s="303"/>
      <c r="J50" s="333"/>
      <c r="K50" s="445"/>
      <c r="L50" s="333"/>
      <c r="M50" s="334"/>
    </row>
    <row r="51" spans="1:16" ht="51">
      <c r="A51" s="13" t="str">
        <f>PLANILHA!A60</f>
        <v>2.4.3</v>
      </c>
      <c r="B51" s="12" t="str">
        <f>PLANILHA!D60</f>
        <v>REVESTIMENTO CERÂMICO PARA PAREDES INTERNAS COM PLACAS TIPO ESMALTADA EXTRA  DE DIMENSÕES 33X45 CM APLICADAS EM AMBIENTES DE ÁREA MAIOR QUE 5 M² A MEIA ALTURA DAS PAREDES. AF_06/2014</v>
      </c>
      <c r="C51" s="982" t="s">
        <v>319</v>
      </c>
      <c r="D51" s="982"/>
      <c r="E51" s="982"/>
      <c r="F51" s="982"/>
      <c r="G51" s="982"/>
      <c r="H51" s="494">
        <v>204.66</v>
      </c>
      <c r="I51" s="303"/>
      <c r="J51" s="333"/>
      <c r="K51" s="445"/>
      <c r="L51" s="333"/>
      <c r="M51" s="334"/>
    </row>
    <row r="52" spans="1:16" ht="25.5">
      <c r="A52" s="13" t="str">
        <f>PLANILHA!A61</f>
        <v>2.4.4</v>
      </c>
      <c r="B52" s="12" t="str">
        <f>PLANILHA!D61</f>
        <v>IMPERMEABILIZAÇÃO DE PAREDES COM ARGAMASSA DE CIMENTO E AREIA, COM ADITIVO IMPERMEABILIZANTE, E = 2CM. AF_06/2018</v>
      </c>
      <c r="C52" s="982" t="s">
        <v>335</v>
      </c>
      <c r="D52" s="982"/>
      <c r="E52" s="982"/>
      <c r="F52" s="982"/>
      <c r="G52" s="982"/>
      <c r="H52" s="524">
        <v>583.70000000000005</v>
      </c>
      <c r="I52" s="303"/>
      <c r="J52" s="333"/>
      <c r="K52" s="445"/>
      <c r="L52" s="333"/>
      <c r="M52" s="334"/>
    </row>
    <row r="53" spans="1:16" ht="25.5">
      <c r="A53" s="671" t="str">
        <f>PLANILHA!A62</f>
        <v>2.4.5</v>
      </c>
      <c r="B53" s="693" t="str">
        <f>PLANILHA!D62</f>
        <v>FORRO DE PVC, LISO, PARA AMBIENTES COMERCIAIS, INCLUSIVE ESTRUTURA DE FIXAÇÃO. AF_05/2017_P</v>
      </c>
      <c r="C53" s="969" t="s">
        <v>395</v>
      </c>
      <c r="D53" s="969"/>
      <c r="E53" s="969"/>
      <c r="F53" s="969"/>
      <c r="G53" s="969"/>
      <c r="H53" s="681">
        <f>H34</f>
        <v>396.6</v>
      </c>
      <c r="I53" s="303"/>
      <c r="J53" s="333"/>
      <c r="K53" s="445"/>
      <c r="L53" s="333"/>
      <c r="M53" s="334"/>
    </row>
    <row r="54" spans="1:16" ht="25.5">
      <c r="A54" s="671" t="str">
        <f>PLANILHA!A63</f>
        <v>2.4.6</v>
      </c>
      <c r="B54" s="693" t="str">
        <f>PLANILHA!D63</f>
        <v>ACABAMENTOS PARA FORRO (RODA-FORRO EM PERFIL METÁLICO E PLÁSTICO). AF_05/2017</v>
      </c>
      <c r="C54" s="969" t="s">
        <v>395</v>
      </c>
      <c r="D54" s="969"/>
      <c r="E54" s="969"/>
      <c r="F54" s="969"/>
      <c r="G54" s="969"/>
      <c r="H54" s="681">
        <f>303.7+18.6+20.81+14.8</f>
        <v>357.91</v>
      </c>
      <c r="I54" s="303"/>
      <c r="J54" s="333"/>
      <c r="K54" s="445"/>
      <c r="L54" s="333"/>
      <c r="M54" s="334"/>
    </row>
    <row r="55" spans="1:16">
      <c r="A55" s="204" t="str">
        <f>PLANILHA!A66</f>
        <v>2.5</v>
      </c>
      <c r="B55" s="306" t="str">
        <f>PLANILHA!D66</f>
        <v>ESQUADRIAS, FERRAGENS E VIDROS</v>
      </c>
      <c r="C55" s="602"/>
      <c r="D55" s="602"/>
      <c r="E55" s="602"/>
      <c r="F55" s="602"/>
      <c r="G55" s="602"/>
      <c r="H55" s="558"/>
      <c r="I55" s="303"/>
      <c r="J55" s="333"/>
      <c r="K55" s="445"/>
      <c r="L55" s="335"/>
      <c r="M55" s="5"/>
      <c r="N55" s="336"/>
      <c r="O55" s="336"/>
      <c r="P55" s="336"/>
    </row>
    <row r="56" spans="1:16" ht="25.5">
      <c r="A56" s="13" t="str">
        <f>PLANILHA!A67</f>
        <v>2.5.1</v>
      </c>
      <c r="B56" s="12" t="str">
        <f>PLANILHA!D67</f>
        <v>PORTA EM CHAPA VINCADA - 1 FOLHA, INCLUSIVE ACABAMENTO E FERRAGENS - ANEXO A-045 (ESQ.) /M2</v>
      </c>
      <c r="C56" s="970" t="s">
        <v>275</v>
      </c>
      <c r="D56" s="971"/>
      <c r="E56" s="971"/>
      <c r="F56" s="971"/>
      <c r="G56" s="972"/>
      <c r="H56" s="494">
        <v>30.72</v>
      </c>
      <c r="I56" s="303"/>
      <c r="J56" s="333"/>
      <c r="K56" s="445"/>
      <c r="L56" s="438"/>
      <c r="M56" s="439"/>
      <c r="N56" s="436"/>
      <c r="O56" s="436"/>
      <c r="P56" s="436"/>
    </row>
    <row r="57" spans="1:16" ht="38.25">
      <c r="A57" s="13" t="str">
        <f>PLANILHA!A68</f>
        <v>2.5.2</v>
      </c>
      <c r="B57" s="12" t="str">
        <f>PLANILHA!D68</f>
        <v>JANELA DE AÇO DE CORRER COM 4 FOLHAS PARA VIDRO, COM BATENTE, FERRAGENS E PINTURA ANTICORROSIVA. EXCLUSIVE VIDROS, ALIZAR E CONTRAMARCO. FORNECIMENTO E INSTALAÇÃO. AF_12/2019</v>
      </c>
      <c r="C57" s="970" t="s">
        <v>275</v>
      </c>
      <c r="D57" s="971"/>
      <c r="E57" s="971"/>
      <c r="F57" s="971"/>
      <c r="G57" s="972"/>
      <c r="H57" s="494">
        <v>12</v>
      </c>
      <c r="I57" s="303"/>
      <c r="J57" s="333"/>
      <c r="K57" s="445"/>
      <c r="L57" s="438"/>
      <c r="M57" s="439"/>
      <c r="N57" s="436"/>
      <c r="O57" s="436"/>
      <c r="P57" s="436"/>
    </row>
    <row r="58" spans="1:16">
      <c r="A58" s="204" t="str">
        <f>PLANILHA!A72</f>
        <v>2.6.1</v>
      </c>
      <c r="B58" s="306" t="str">
        <f>PLANILHA!D72</f>
        <v xml:space="preserve">LOUÇAS, METAIS, ACESSÓRIOS </v>
      </c>
      <c r="C58" s="602"/>
      <c r="D58" s="602"/>
      <c r="E58" s="602"/>
      <c r="F58" s="602"/>
      <c r="G58" s="602"/>
      <c r="H58" s="558"/>
      <c r="I58" s="303"/>
      <c r="J58" s="333"/>
      <c r="K58" s="445"/>
      <c r="L58" s="438"/>
      <c r="M58" s="439"/>
      <c r="N58" s="436"/>
      <c r="O58" s="436"/>
      <c r="P58" s="436"/>
    </row>
    <row r="59" spans="1:16" ht="38.25">
      <c r="A59" s="660" t="str">
        <f>PLANILHA!A73</f>
        <v>2.6.1</v>
      </c>
      <c r="B59" s="641" t="str">
        <f>PLANILHA!D73</f>
        <v>VASO SANITARIO SIFONADO CONVENCIONAL COM LOUÇA BRANCA, INCLUSO CONJUNTO DE LIGAÇÃO PARA BACIA SANITÁRIA AJUSTÁVEL - FORNECIMENTO E INSTALAÇÃO. AF_10/2016</v>
      </c>
      <c r="C59" s="970" t="s">
        <v>275</v>
      </c>
      <c r="D59" s="971"/>
      <c r="E59" s="971"/>
      <c r="F59" s="971"/>
      <c r="G59" s="972"/>
      <c r="H59" s="494">
        <v>10</v>
      </c>
      <c r="I59" s="303"/>
      <c r="J59" s="333"/>
      <c r="K59" s="445"/>
      <c r="L59" s="335"/>
      <c r="M59" s="5"/>
      <c r="N59" s="336"/>
      <c r="O59" s="336"/>
      <c r="P59" s="336"/>
    </row>
    <row r="60" spans="1:16" ht="25.5">
      <c r="A60" s="660" t="str">
        <f>PLANILHA!A74</f>
        <v>2.6.2</v>
      </c>
      <c r="B60" s="641" t="str">
        <f>PLANILHA!D74</f>
        <v>ASSENTO UNIVERSAL PARA BACIA SANITARIA, EM POLIPROPILENO LINHA EVOLUTION SOFT CLOSE DA TUPAN OU SIMILAR /UN</v>
      </c>
      <c r="C60" s="970" t="s">
        <v>275</v>
      </c>
      <c r="D60" s="971"/>
      <c r="E60" s="971"/>
      <c r="F60" s="971"/>
      <c r="G60" s="972"/>
      <c r="H60" s="494">
        <v>10</v>
      </c>
      <c r="I60" s="303"/>
      <c r="J60" s="333"/>
      <c r="K60" s="445"/>
      <c r="L60" s="335"/>
      <c r="M60" s="5"/>
      <c r="N60" s="336"/>
      <c r="O60" s="336"/>
      <c r="P60" s="336"/>
    </row>
    <row r="61" spans="1:16" ht="25.5">
      <c r="A61" s="660" t="str">
        <f>PLANILHA!A75</f>
        <v>2.6.3</v>
      </c>
      <c r="B61" s="641" t="str">
        <f>PLANILHA!D75</f>
        <v>VÁLVULA DE DESCARGA METÁLICA, BASE 1 1/2 ", ACABAMENTO METALICO CROMADO - FORNECIMENTO E INSTALAÇÃO. AF_01/2019</v>
      </c>
      <c r="C61" s="970" t="s">
        <v>275</v>
      </c>
      <c r="D61" s="971"/>
      <c r="E61" s="971"/>
      <c r="F61" s="971"/>
      <c r="G61" s="972"/>
      <c r="H61" s="494">
        <v>10</v>
      </c>
      <c r="I61" s="303"/>
      <c r="J61" s="333"/>
      <c r="K61" s="445"/>
      <c r="L61" s="335"/>
      <c r="M61" s="5"/>
      <c r="N61" s="336"/>
      <c r="O61" s="336"/>
      <c r="P61" s="336"/>
    </row>
    <row r="62" spans="1:16" ht="25.5">
      <c r="A62" s="660" t="str">
        <f>PLANILHA!A76</f>
        <v>2.6.4</v>
      </c>
      <c r="B62" s="641" t="str">
        <f>PLANILHA!D76</f>
        <v>PAPELEIRA DE PAREDE EM METAL CROMADO SEM TAMPA, INCLUSO FIXAÇÃO. AF_01/2020</v>
      </c>
      <c r="C62" s="970" t="s">
        <v>275</v>
      </c>
      <c r="D62" s="971"/>
      <c r="E62" s="971"/>
      <c r="F62" s="971"/>
      <c r="G62" s="972"/>
      <c r="H62" s="494">
        <v>10</v>
      </c>
      <c r="I62" s="303"/>
      <c r="J62" s="333"/>
      <c r="K62" s="445"/>
      <c r="L62" s="335"/>
      <c r="M62" s="5"/>
      <c r="N62" s="336"/>
      <c r="O62" s="336"/>
      <c r="P62" s="336"/>
    </row>
    <row r="63" spans="1:16" ht="38.25">
      <c r="A63" s="660" t="str">
        <f>PLANILHA!A77</f>
        <v>2.6.5</v>
      </c>
      <c r="B63" s="641" t="str">
        <f>PLANILHA!D77</f>
        <v>TORNEIRA PARA LAVATORIO DE ACIONAMENTO HIDROMECANICO, FECHAMENTO AUTOMATICO, ACABAMENTO L.C., PRESSMATIC MESA COMPACT, REF.17160606, 1/2" DA DOCOL OU SIMILAR /UN</v>
      </c>
      <c r="C63" s="970" t="s">
        <v>275</v>
      </c>
      <c r="D63" s="971"/>
      <c r="E63" s="971"/>
      <c r="F63" s="971"/>
      <c r="G63" s="972"/>
      <c r="H63" s="494">
        <v>9</v>
      </c>
      <c r="I63" s="303"/>
      <c r="J63" s="333"/>
      <c r="K63" s="445"/>
      <c r="L63" s="335"/>
      <c r="M63" s="5"/>
      <c r="N63" s="336"/>
      <c r="O63" s="336"/>
      <c r="P63" s="336"/>
    </row>
    <row r="64" spans="1:16" ht="25.5">
      <c r="A64" s="660" t="str">
        <f>PLANILHA!A78</f>
        <v>2.6.6</v>
      </c>
      <c r="B64" s="641" t="str">
        <f>PLANILHA!D78</f>
        <v>TORNEIRA CROMADA TUBO MÓVEL, DE MESA, 1/2 OU 3/4, PARA PIA DE COZINHA, PADRÃO ALTO - FORNECIMENTO E INSTALAÇÃO. AF_01/2020</v>
      </c>
      <c r="C64" s="970" t="s">
        <v>275</v>
      </c>
      <c r="D64" s="971"/>
      <c r="E64" s="971"/>
      <c r="F64" s="971"/>
      <c r="G64" s="972"/>
      <c r="H64" s="494">
        <v>3</v>
      </c>
      <c r="I64" s="303"/>
      <c r="J64" s="333"/>
      <c r="K64" s="445"/>
      <c r="L64" s="335"/>
      <c r="M64" s="5"/>
      <c r="N64" s="336"/>
      <c r="O64" s="336"/>
      <c r="P64" s="336"/>
    </row>
    <row r="65" spans="1:16" s="436" customFormat="1" ht="25.5">
      <c r="A65" s="660" t="str">
        <f>PLANILHA!A79</f>
        <v>2.6.7</v>
      </c>
      <c r="B65" s="641" t="str">
        <f>PLANILHA!D79</f>
        <v>TORNEIRA CROMADA 1/2 OU 3/4 PARA TANQUE, PADRÃO MÉDIO - FORNECIMENTO E INSTALAÇÃO. AF_01/2020</v>
      </c>
      <c r="C65" s="970" t="s">
        <v>275</v>
      </c>
      <c r="D65" s="971"/>
      <c r="E65" s="971"/>
      <c r="F65" s="971"/>
      <c r="G65" s="972"/>
      <c r="H65" s="494">
        <v>1</v>
      </c>
      <c r="I65" s="437"/>
      <c r="J65" s="438"/>
      <c r="K65" s="446"/>
      <c r="L65" s="333"/>
      <c r="M65" s="334"/>
      <c r="N65" s="89"/>
      <c r="O65" s="89"/>
      <c r="P65" s="89"/>
    </row>
    <row r="66" spans="1:16" s="436" customFormat="1" ht="25.5">
      <c r="A66" s="660" t="str">
        <f>PLANILHA!A80</f>
        <v>2.6.8</v>
      </c>
      <c r="B66" s="641" t="str">
        <f>PLANILHA!D80</f>
        <v>CHUVEIRO ELÉTRICO COMUM CORPO PLÁSTICO, TIPO DUCHA  FORNECIMENTO E INSTALAÇÃO. AF_01/2020</v>
      </c>
      <c r="C66" s="970" t="s">
        <v>275</v>
      </c>
      <c r="D66" s="971"/>
      <c r="E66" s="971"/>
      <c r="F66" s="971"/>
      <c r="G66" s="972"/>
      <c r="H66" s="494">
        <v>8</v>
      </c>
      <c r="I66" s="437"/>
      <c r="J66" s="438"/>
      <c r="K66" s="446"/>
      <c r="L66" s="333"/>
      <c r="M66" s="334"/>
      <c r="N66" s="89"/>
      <c r="O66" s="89"/>
      <c r="P66" s="89"/>
    </row>
    <row r="67" spans="1:16" s="436" customFormat="1" ht="25.5">
      <c r="A67" s="660" t="str">
        <f>PLANILHA!A81</f>
        <v>2.6.9</v>
      </c>
      <c r="B67" s="641" t="str">
        <f>PLANILHA!D81</f>
        <v>TOALHEIRO PLASTICO TIPO DISPENSER PARA PAPEL TOALHA INTERFOLHADO /UN</v>
      </c>
      <c r="C67" s="970" t="s">
        <v>275</v>
      </c>
      <c r="D67" s="971"/>
      <c r="E67" s="971"/>
      <c r="F67" s="971"/>
      <c r="G67" s="972"/>
      <c r="H67" s="524">
        <v>8</v>
      </c>
      <c r="I67" s="437"/>
      <c r="J67" s="438"/>
      <c r="K67" s="446"/>
      <c r="L67" s="333"/>
      <c r="M67" s="334"/>
      <c r="N67" s="89"/>
      <c r="O67" s="89"/>
      <c r="P67" s="89"/>
    </row>
    <row r="68" spans="1:16" s="436" customFormat="1" ht="25.5">
      <c r="A68" s="660" t="str">
        <f>PLANILHA!A82</f>
        <v>2.6.10</v>
      </c>
      <c r="B68" s="641" t="str">
        <f>PLANILHA!D82</f>
        <v>SABONETEIRA PLASTICA TIPO DISPENSER PARA SABONETE LIQUIDO COM RESERVATORIO 800 A 1500 ML, INCLUSO FIXAÇÃO. AF_01/2020</v>
      </c>
      <c r="C68" s="970" t="s">
        <v>275</v>
      </c>
      <c r="D68" s="971"/>
      <c r="E68" s="971"/>
      <c r="F68" s="971"/>
      <c r="G68" s="972"/>
      <c r="H68" s="524">
        <v>8</v>
      </c>
      <c r="I68" s="437"/>
      <c r="J68" s="438"/>
      <c r="K68" s="446"/>
      <c r="L68" s="333"/>
      <c r="M68" s="334"/>
      <c r="N68" s="89"/>
      <c r="O68" s="89"/>
      <c r="P68" s="89"/>
    </row>
    <row r="69" spans="1:16" s="436" customFormat="1" ht="25.5">
      <c r="A69" s="660" t="str">
        <f>PLANILHA!A83</f>
        <v>2.6.11</v>
      </c>
      <c r="B69" s="641" t="str">
        <f>PLANILHA!D83</f>
        <v>ENGATE FLEXÍVEL EM PLÁSTICO BRANCO, 1/2 X 30CM - FORNECIMENTO E INSTALAÇÃO. AF_01/2020</v>
      </c>
      <c r="C69" s="970" t="s">
        <v>275</v>
      </c>
      <c r="D69" s="971"/>
      <c r="E69" s="971"/>
      <c r="F69" s="971"/>
      <c r="G69" s="972"/>
      <c r="H69" s="524">
        <v>12</v>
      </c>
      <c r="I69" s="437"/>
      <c r="J69" s="438"/>
      <c r="K69" s="446"/>
      <c r="L69" s="333"/>
      <c r="M69" s="334"/>
      <c r="N69" s="89"/>
      <c r="O69" s="89"/>
      <c r="P69" s="89"/>
    </row>
    <row r="70" spans="1:16" s="436" customFormat="1" ht="25.5">
      <c r="A70" s="660" t="str">
        <f>PLANILHA!A84</f>
        <v>2.6.12</v>
      </c>
      <c r="B70" s="641" t="str">
        <f>PLANILHA!D84</f>
        <v>SIFÃO DO TIPO FLEXÍVEL EM PVC 1  X 1.1/2  - FORNECIMENTO E INSTALAÇÃO. AF_01/2020</v>
      </c>
      <c r="C70" s="970" t="s">
        <v>275</v>
      </c>
      <c r="D70" s="971"/>
      <c r="E70" s="971"/>
      <c r="F70" s="971"/>
      <c r="G70" s="972"/>
      <c r="H70" s="524">
        <v>12</v>
      </c>
      <c r="I70" s="437"/>
      <c r="J70" s="438"/>
      <c r="K70" s="446"/>
      <c r="L70" s="333"/>
      <c r="M70" s="334"/>
      <c r="N70" s="89"/>
      <c r="O70" s="89"/>
      <c r="P70" s="89"/>
    </row>
    <row r="71" spans="1:16" s="436" customFormat="1">
      <c r="A71" s="660" t="str">
        <f>PLANILHA!A85</f>
        <v>2.6.13</v>
      </c>
      <c r="B71" s="641" t="str">
        <f>PLANILHA!D85</f>
        <v>TARJETA TIPO LIVRE/OCUPADO PARA PORTA DE BANHEIRO. AF_12/2019</v>
      </c>
      <c r="C71" s="970" t="s">
        <v>275</v>
      </c>
      <c r="D71" s="971"/>
      <c r="E71" s="971"/>
      <c r="F71" s="971"/>
      <c r="G71" s="972"/>
      <c r="H71" s="524">
        <v>16</v>
      </c>
      <c r="I71" s="437"/>
      <c r="J71" s="438"/>
      <c r="K71" s="446"/>
      <c r="L71" s="333"/>
      <c r="M71" s="334"/>
      <c r="N71" s="89"/>
      <c r="O71" s="89"/>
      <c r="P71" s="89"/>
    </row>
    <row r="72" spans="1:16" s="436" customFormat="1">
      <c r="A72" s="204" t="str">
        <f>PLANILHA!A88</f>
        <v>2.6.2</v>
      </c>
      <c r="B72" s="307" t="str">
        <f>PLANILHA!D88</f>
        <v>ACESSIBILIDADE</v>
      </c>
      <c r="C72" s="602"/>
      <c r="D72" s="602"/>
      <c r="E72" s="602"/>
      <c r="F72" s="602"/>
      <c r="G72" s="602"/>
      <c r="H72" s="558"/>
      <c r="I72" s="437"/>
      <c r="J72" s="438"/>
      <c r="K72" s="446"/>
      <c r="L72" s="333"/>
      <c r="M72" s="334"/>
      <c r="N72" s="89"/>
      <c r="O72" s="89"/>
      <c r="P72" s="89"/>
    </row>
    <row r="73" spans="1:16" s="436" customFormat="1" ht="51">
      <c r="A73" s="660" t="str">
        <f>PLANILHA!A89</f>
        <v>2.6.2.1</v>
      </c>
      <c r="B73" s="641" t="str">
        <f>PLANILHA!D89</f>
        <v>VASO SANITARIO SIFONADO CONVENCIONAL PARA PCD SEM FURO FRONTAL COM LOUÇA BRANCA SEM ASSENTO, INCLUSO CONJUNTO DE LIGAÇÃO PARA BACIA SANITÁRIA AJUSTÁVEL - FORNECIMENTO E INSTALAÇÃO. AF_01/2020</v>
      </c>
      <c r="C73" s="974" t="s">
        <v>334</v>
      </c>
      <c r="D73" s="975"/>
      <c r="E73" s="975"/>
      <c r="F73" s="975"/>
      <c r="G73" s="976"/>
      <c r="H73" s="524">
        <v>1</v>
      </c>
      <c r="I73" s="437"/>
      <c r="J73" s="438"/>
      <c r="K73" s="446"/>
      <c r="L73" s="333"/>
      <c r="M73" s="334"/>
      <c r="N73" s="89"/>
      <c r="O73" s="89"/>
      <c r="P73" s="89"/>
    </row>
    <row r="74" spans="1:16" s="436" customFormat="1" ht="25.5">
      <c r="A74" s="660" t="str">
        <f>PLANILHA!A90</f>
        <v>2.6.2.2</v>
      </c>
      <c r="B74" s="641" t="str">
        <f>PLANILHA!D90</f>
        <v>ASSENTO UNIVERSAL PARA BACIA SANITARIA, EM POLIPROPILENO LINHA EVOLUTION SOFT CLOSE DA TUPAN OU SIMILAR /UN</v>
      </c>
      <c r="C74" s="974" t="s">
        <v>334</v>
      </c>
      <c r="D74" s="975"/>
      <c r="E74" s="975"/>
      <c r="F74" s="975"/>
      <c r="G74" s="976"/>
      <c r="H74" s="524">
        <v>1</v>
      </c>
      <c r="I74" s="437"/>
      <c r="J74" s="438"/>
      <c r="K74" s="446"/>
      <c r="L74" s="333"/>
      <c r="M74" s="334"/>
      <c r="N74" s="89"/>
      <c r="O74" s="89"/>
      <c r="P74" s="89"/>
    </row>
    <row r="75" spans="1:16" s="436" customFormat="1" ht="25.5">
      <c r="A75" s="660" t="str">
        <f>PLANILHA!A91</f>
        <v>2.6.2.3</v>
      </c>
      <c r="B75" s="641" t="str">
        <f>PLANILHA!D91</f>
        <v>VALVULA DE DESCARGA 1 1/2" SEM ACABAMENTO (BASE), DOCOL OU SIMILAR /UN</v>
      </c>
      <c r="C75" s="974" t="s">
        <v>334</v>
      </c>
      <c r="D75" s="975"/>
      <c r="E75" s="975"/>
      <c r="F75" s="975"/>
      <c r="G75" s="976"/>
      <c r="H75" s="524">
        <v>1</v>
      </c>
      <c r="I75" s="437"/>
      <c r="J75" s="438"/>
      <c r="K75" s="446"/>
      <c r="L75" s="333"/>
      <c r="M75" s="334"/>
      <c r="N75" s="89"/>
      <c r="O75" s="89"/>
      <c r="P75" s="89"/>
    </row>
    <row r="76" spans="1:16" s="436" customFormat="1" ht="25.5">
      <c r="A76" s="660" t="str">
        <f>PLANILHA!A92</f>
        <v>2.6.2.4</v>
      </c>
      <c r="B76" s="641" t="str">
        <f>PLANILHA!D92</f>
        <v>ACABAMENTO PARA VALVULA DE DESCARGA PARA DEFICIENTE FISICO VD BENEFIT COD 00184906 DA DOCOL OU SIMILAR /UN</v>
      </c>
      <c r="C76" s="974" t="s">
        <v>334</v>
      </c>
      <c r="D76" s="975"/>
      <c r="E76" s="975"/>
      <c r="F76" s="975"/>
      <c r="G76" s="976"/>
      <c r="H76" s="524">
        <v>1</v>
      </c>
      <c r="I76" s="437"/>
      <c r="J76" s="438"/>
      <c r="K76" s="446"/>
      <c r="L76" s="333"/>
      <c r="M76" s="334"/>
      <c r="N76" s="89"/>
      <c r="O76" s="89"/>
      <c r="P76" s="89"/>
    </row>
    <row r="77" spans="1:16" s="436" customFormat="1" ht="25.5">
      <c r="A77" s="660" t="str">
        <f>PLANILHA!A93</f>
        <v>2.6.2.5</v>
      </c>
      <c r="B77" s="641" t="str">
        <f>PLANILHA!D93</f>
        <v>TORNEIRA PRESSMATIC DE MESA PARA DEFICIENTE FISICO BENEFI REF. 00490706 1/2" DA DOCOL OU SIMILAR /UN</v>
      </c>
      <c r="C77" s="974" t="s">
        <v>334</v>
      </c>
      <c r="D77" s="975"/>
      <c r="E77" s="975"/>
      <c r="F77" s="975"/>
      <c r="G77" s="976"/>
      <c r="H77" s="524">
        <v>1</v>
      </c>
      <c r="I77" s="437"/>
      <c r="J77" s="438"/>
      <c r="K77" s="446"/>
      <c r="L77" s="333"/>
      <c r="M77" s="334"/>
      <c r="N77" s="89"/>
      <c r="O77" s="89"/>
      <c r="P77" s="89"/>
    </row>
    <row r="78" spans="1:16" s="436" customFormat="1" ht="25.5">
      <c r="A78" s="660" t="str">
        <f>PLANILHA!A94</f>
        <v>2.6.2.6</v>
      </c>
      <c r="B78" s="641" t="str">
        <f>PLANILHA!D94</f>
        <v>PUXADOR PARA PCD, FIXADO NA PORTA - FORNECIMENTO E INSTALAÇÃO. AF_01/2020</v>
      </c>
      <c r="C78" s="974" t="s">
        <v>334</v>
      </c>
      <c r="D78" s="975"/>
      <c r="E78" s="975"/>
      <c r="F78" s="975"/>
      <c r="G78" s="976"/>
      <c r="H78" s="524">
        <v>1</v>
      </c>
      <c r="I78" s="437"/>
      <c r="J78" s="438"/>
      <c r="K78" s="446"/>
      <c r="L78" s="333"/>
      <c r="M78" s="334"/>
      <c r="N78" s="89"/>
      <c r="O78" s="89"/>
      <c r="P78" s="89"/>
    </row>
    <row r="79" spans="1:16" s="436" customFormat="1" ht="25.5">
      <c r="A79" s="660" t="str">
        <f>PLANILHA!A95</f>
        <v>2.6.2.7</v>
      </c>
      <c r="B79" s="641" t="str">
        <f>PLANILHA!D95</f>
        <v>BARRA DE APOIO RETA, EM ACO INOX POLIDO, COMPRIMENTO 70 CM,  FIXADA NA PAREDE - FORNECIMENTO E INSTALAÇÃO. AF_01/2020</v>
      </c>
      <c r="C79" s="974" t="s">
        <v>334</v>
      </c>
      <c r="D79" s="975"/>
      <c r="E79" s="975"/>
      <c r="F79" s="975"/>
      <c r="G79" s="976"/>
      <c r="H79" s="524">
        <v>1</v>
      </c>
      <c r="I79" s="437"/>
      <c r="J79" s="438"/>
      <c r="K79" s="446"/>
      <c r="L79" s="333"/>
      <c r="M79" s="334"/>
      <c r="N79" s="89"/>
      <c r="O79" s="89"/>
      <c r="P79" s="89"/>
    </row>
    <row r="80" spans="1:16" s="436" customFormat="1" ht="25.5">
      <c r="A80" s="660" t="str">
        <f>PLANILHA!A96</f>
        <v>2.6.2.8</v>
      </c>
      <c r="B80" s="641" t="str">
        <f>PLANILHA!D96</f>
        <v>BARRA DE APOIO RETA, EM ACO INOX POLIDO, COMPRIMENTO 80 CM,  FIXADA NA PAREDE - FORNECIMENTO E INSTALAÇÃO. AF_01/2020</v>
      </c>
      <c r="C80" s="974" t="s">
        <v>334</v>
      </c>
      <c r="D80" s="975"/>
      <c r="E80" s="975"/>
      <c r="F80" s="975"/>
      <c r="G80" s="976"/>
      <c r="H80" s="524">
        <v>2</v>
      </c>
      <c r="I80" s="437"/>
      <c r="J80" s="438"/>
      <c r="K80" s="446"/>
      <c r="L80" s="333"/>
      <c r="M80" s="334"/>
      <c r="N80" s="89"/>
      <c r="O80" s="89"/>
      <c r="P80" s="89"/>
    </row>
    <row r="81" spans="1:16" s="436" customFormat="1" ht="25.5">
      <c r="A81" s="660" t="str">
        <f>PLANILHA!A97</f>
        <v>2.6.2.9</v>
      </c>
      <c r="B81" s="641" t="str">
        <f>PLANILHA!D97</f>
        <v>BARRA DE APOIO RETA, EM ACO INOX POLIDO, COMPRIMENTO DE 40CM, DIAMETRO MINIMO DE 3CM /UN</v>
      </c>
      <c r="C81" s="974" t="s">
        <v>334</v>
      </c>
      <c r="D81" s="975"/>
      <c r="E81" s="975"/>
      <c r="F81" s="975"/>
      <c r="G81" s="976"/>
      <c r="H81" s="524">
        <v>2</v>
      </c>
      <c r="I81" s="437"/>
      <c r="J81" s="438"/>
      <c r="K81" s="446"/>
      <c r="L81" s="333"/>
      <c r="M81" s="334"/>
      <c r="N81" s="89"/>
      <c r="O81" s="89"/>
      <c r="P81" s="89"/>
    </row>
    <row r="82" spans="1:16">
      <c r="A82" s="204" t="str">
        <f>PLANILHA!A100</f>
        <v>2.7</v>
      </c>
      <c r="B82" s="307" t="str">
        <f>PLANILHA!D100</f>
        <v>PINTURA</v>
      </c>
      <c r="C82" s="602"/>
      <c r="D82" s="602"/>
      <c r="E82" s="602"/>
      <c r="F82" s="602"/>
      <c r="G82" s="602"/>
      <c r="H82" s="558"/>
      <c r="I82" s="303"/>
      <c r="J82" s="333"/>
      <c r="K82" s="445"/>
      <c r="L82" s="333"/>
      <c r="M82" s="334"/>
    </row>
    <row r="83" spans="1:16" s="493" customFormat="1" ht="25.5">
      <c r="A83" s="682" t="str">
        <f>PLANILHA!A101</f>
        <v>2.7.1</v>
      </c>
      <c r="B83" s="683" t="str">
        <f>PLANILHA!D101</f>
        <v>APLICAÇÃO E LIXAMENTO DE MASSA LÁTEX EM PAREDES, DUAS DEMÃOS. AF_06/2014</v>
      </c>
      <c r="C83" s="993" t="s">
        <v>399</v>
      </c>
      <c r="D83" s="993"/>
      <c r="E83" s="993"/>
      <c r="F83" s="993"/>
      <c r="G83" s="993"/>
      <c r="H83" s="684">
        <f>0.7*1863.26</f>
        <v>1304.2819999999999</v>
      </c>
      <c r="I83" s="489"/>
      <c r="J83" s="490"/>
      <c r="K83" s="491"/>
      <c r="L83" s="490"/>
      <c r="M83" s="492"/>
    </row>
    <row r="84" spans="1:16" s="493" customFormat="1" ht="25.5">
      <c r="A84" s="685" t="str">
        <f>PLANILHA!A102</f>
        <v>2.7.2</v>
      </c>
      <c r="B84" s="686" t="str">
        <f>PLANILHA!D102</f>
        <v>APLICAÇÃO MANUAL DE PINTURA COM TINTA LÁTEX ACRÍLICA EM PAREDES, DUAS DEMÃOS. AF_06/2014</v>
      </c>
      <c r="C84" s="982" t="s">
        <v>36</v>
      </c>
      <c r="D84" s="982"/>
      <c r="E84" s="982"/>
      <c r="F84" s="982"/>
      <c r="G84" s="982"/>
      <c r="H84" s="524">
        <v>1863.26</v>
      </c>
      <c r="I84" s="489"/>
      <c r="J84" s="490"/>
      <c r="K84" s="491"/>
      <c r="L84" s="490"/>
      <c r="M84" s="492"/>
    </row>
    <row r="85" spans="1:16" s="493" customFormat="1" ht="25.5">
      <c r="A85" s="685" t="str">
        <f>PLANILHA!A103</f>
        <v>2.7.3</v>
      </c>
      <c r="B85" s="686" t="str">
        <f>PLANILHA!D103</f>
        <v>APLICAÇÃO E LIXAMENTO DE MASSA LÁTEX EM TETO, UMA DEMÃO. AF_06/2014</v>
      </c>
      <c r="C85" s="982" t="s">
        <v>428</v>
      </c>
      <c r="D85" s="982"/>
      <c r="E85" s="982"/>
      <c r="F85" s="982"/>
      <c r="G85" s="982"/>
      <c r="H85" s="494">
        <f>0.8*859.7</f>
        <v>687.7600000000001</v>
      </c>
      <c r="I85" s="489"/>
      <c r="J85" s="490"/>
      <c r="K85" s="491"/>
      <c r="L85" s="490"/>
      <c r="M85" s="492"/>
    </row>
    <row r="86" spans="1:16" s="493" customFormat="1" ht="25.5">
      <c r="A86" s="685" t="str">
        <f>PLANILHA!A104</f>
        <v>2.7.4</v>
      </c>
      <c r="B86" s="686" t="str">
        <f>PLANILHA!D104</f>
        <v>APLICAÇÃO MANUAL DE PINTURA COM TINTA LÁTEX ACRÍLICA EM TETO, DUAS DEMÃOS. AF_06/2014</v>
      </c>
      <c r="C86" s="973" t="s">
        <v>36</v>
      </c>
      <c r="D86" s="973"/>
      <c r="E86" s="973"/>
      <c r="F86" s="973"/>
      <c r="G86" s="973"/>
      <c r="H86" s="494">
        <v>977.2</v>
      </c>
      <c r="I86" s="489"/>
      <c r="J86" s="489"/>
      <c r="K86" s="489"/>
      <c r="L86" s="490"/>
      <c r="M86" s="492"/>
    </row>
    <row r="87" spans="1:16" s="493" customFormat="1">
      <c r="A87" s="685" t="str">
        <f>PLANILHA!A105</f>
        <v>2.7.5</v>
      </c>
      <c r="B87" s="686" t="str">
        <f>PLANILHA!D105</f>
        <v>LIXAMENTO MANUAL EM SUPERFÍCIES METÁLICAS EM OBRA. AF_01/2020</v>
      </c>
      <c r="C87" s="977" t="s">
        <v>397</v>
      </c>
      <c r="D87" s="977"/>
      <c r="E87" s="977"/>
      <c r="F87" s="977"/>
      <c r="G87" s="977"/>
      <c r="H87" s="494">
        <v>129.22</v>
      </c>
      <c r="I87" s="489"/>
      <c r="J87" s="489"/>
      <c r="K87" s="489"/>
      <c r="L87" s="490"/>
      <c r="M87" s="492"/>
    </row>
    <row r="88" spans="1:16" s="493" customFormat="1" ht="38.25">
      <c r="A88" s="685" t="str">
        <f>PLANILHA!A106</f>
        <v>2.7.6</v>
      </c>
      <c r="B88" s="686" t="str">
        <f>PLANILHA!D106</f>
        <v>PINTURA COM TINTA ALQUÍDICA DE FUNDO E ACABAMENTO (ESMALTE SINTÉTICO GRAFITE) PULVERIZADA SOBRE SUPERFÍCIES METÁLICAS (EXCETO PERFIL) EXECUTADO EM OBRA (POR DEMÃO). AF_01/2020_P</v>
      </c>
      <c r="C88" s="977" t="s">
        <v>397</v>
      </c>
      <c r="D88" s="977"/>
      <c r="E88" s="977"/>
      <c r="F88" s="977"/>
      <c r="G88" s="977"/>
      <c r="H88" s="494">
        <v>129.22</v>
      </c>
      <c r="I88" s="489"/>
      <c r="J88" s="489"/>
      <c r="K88" s="489"/>
      <c r="L88" s="490"/>
      <c r="M88" s="492"/>
    </row>
    <row r="89" spans="1:16">
      <c r="A89" s="687" t="str">
        <f>PLANILHA!A110</f>
        <v>3.0</v>
      </c>
      <c r="B89" s="688" t="str">
        <f>PLANILHA!D110</f>
        <v>COMPLEMENTARES</v>
      </c>
      <c r="C89" s="315"/>
      <c r="D89" s="315"/>
      <c r="E89" s="315"/>
      <c r="F89" s="315"/>
      <c r="G89" s="315"/>
      <c r="H89" s="559"/>
      <c r="I89" s="303"/>
      <c r="J89" s="333"/>
      <c r="K89" s="445"/>
      <c r="L89" s="333"/>
      <c r="M89" s="334"/>
    </row>
    <row r="90" spans="1:16" ht="38.25">
      <c r="A90" s="205" t="str">
        <f>PLANILHA!A111</f>
        <v>3.1</v>
      </c>
      <c r="B90" s="579" t="str">
        <f>PLANILHA!D111</f>
        <v>ESPELHO CRISTAL, ESPESSURA 4MM FIXADO COM BOTAO FRANCES DE PLASTICO CROMADO, PARAFUSO E BUCHA, SEM MOLDURA - FORNECIMENTO E INSTALACAO /M2</v>
      </c>
      <c r="C90" s="981" t="s">
        <v>275</v>
      </c>
      <c r="D90" s="981"/>
      <c r="E90" s="981"/>
      <c r="F90" s="981"/>
      <c r="G90" s="981"/>
      <c r="H90" s="678">
        <v>7.36</v>
      </c>
      <c r="I90" s="489"/>
      <c r="J90" s="490"/>
      <c r="K90" s="445"/>
      <c r="L90" s="333"/>
      <c r="M90" s="334"/>
    </row>
    <row r="91" spans="1:16">
      <c r="A91" s="13" t="str">
        <f>PLANILHA!A112</f>
        <v>3.2</v>
      </c>
      <c r="B91" s="12" t="str">
        <f>PLANILHA!D112</f>
        <v>REPAROS EM RACHADURAS /M</v>
      </c>
      <c r="C91" s="973" t="s">
        <v>337</v>
      </c>
      <c r="D91" s="973"/>
      <c r="E91" s="973"/>
      <c r="F91" s="973"/>
      <c r="G91" s="973"/>
      <c r="H91" s="494">
        <v>20</v>
      </c>
      <c r="I91" s="489"/>
      <c r="J91" s="490"/>
      <c r="K91" s="445"/>
      <c r="L91" s="333"/>
      <c r="M91" s="334"/>
    </row>
    <row r="92" spans="1:16" ht="25.5">
      <c r="A92" s="13" t="str">
        <f>PLANILHA!A113</f>
        <v>3.3</v>
      </c>
      <c r="B92" s="12" t="str">
        <f>PLANILHA!D113</f>
        <v>ABRIGO PARA CENTRAL DE GLP EM ALVENARIA COM LAJE EM CONCRETO ARMADO - 2,001,00X2,00</v>
      </c>
      <c r="C92" s="998" t="s">
        <v>275</v>
      </c>
      <c r="D92" s="998"/>
      <c r="E92" s="998"/>
      <c r="F92" s="998"/>
      <c r="G92" s="998"/>
      <c r="H92" s="494">
        <v>1</v>
      </c>
      <c r="I92" s="489"/>
      <c r="J92" s="490"/>
      <c r="K92" s="445"/>
      <c r="L92" s="333"/>
      <c r="M92" s="334"/>
    </row>
    <row r="93" spans="1:16" ht="25.5">
      <c r="A93" s="689" t="s">
        <v>361</v>
      </c>
      <c r="B93" s="690" t="str">
        <f>COMPOSIÇÕES!C72</f>
        <v>PLACA DE INAUGURACAO METALICA COM DIMENSÃO *40* CM X *60* CM - INSTALAÇÃO E FORNECIMENTO</v>
      </c>
      <c r="C93" s="969" t="s">
        <v>360</v>
      </c>
      <c r="D93" s="969"/>
      <c r="E93" s="969"/>
      <c r="F93" s="969"/>
      <c r="G93" s="969"/>
      <c r="H93" s="691">
        <v>1</v>
      </c>
      <c r="I93" s="489"/>
      <c r="J93" s="490"/>
      <c r="K93" s="445"/>
      <c r="L93" s="333"/>
      <c r="M93" s="334"/>
    </row>
    <row r="94" spans="1:16">
      <c r="A94" s="687" t="str">
        <f>PLANILHA!A117</f>
        <v>4.0</v>
      </c>
      <c r="B94" s="688" t="str">
        <f>PLANILHA!D117</f>
        <v>ADMINISTRAÇÃO LOCAL</v>
      </c>
      <c r="C94" s="315"/>
      <c r="D94" s="315"/>
      <c r="E94" s="315"/>
      <c r="F94" s="315"/>
      <c r="G94" s="315"/>
      <c r="H94" s="559"/>
      <c r="I94" s="482"/>
    </row>
    <row r="95" spans="1:16" s="436" customFormat="1">
      <c r="A95" s="727" t="str">
        <f>PLANILHA!A118</f>
        <v>4.1</v>
      </c>
      <c r="B95" s="728" t="str">
        <f>PLANILHA!D118</f>
        <v>ENGENHEIRO CIVIL DE OBRA JUNIOR COM ENCARGOS COMPLEMENTARES</v>
      </c>
      <c r="C95" s="999" t="s">
        <v>400</v>
      </c>
      <c r="D95" s="999"/>
      <c r="E95" s="999"/>
      <c r="F95" s="999"/>
      <c r="G95" s="999"/>
      <c r="H95" s="684">
        <f>6*6*1*4</f>
        <v>144</v>
      </c>
      <c r="I95" s="654"/>
      <c r="K95" s="443"/>
      <c r="L95" s="336"/>
      <c r="M95" s="336"/>
      <c r="N95" s="336"/>
      <c r="O95" s="336"/>
      <c r="P95" s="336"/>
    </row>
    <row r="96" spans="1:16" s="436" customFormat="1">
      <c r="A96" s="729" t="str">
        <f>PLANILHA!A119</f>
        <v>4.2</v>
      </c>
      <c r="B96" s="730" t="str">
        <f>PLANILHA!D119</f>
        <v>MESTRE DE OBRAS COM ENCARGOS COMPLEMENTARES</v>
      </c>
      <c r="C96" s="1003" t="s">
        <v>429</v>
      </c>
      <c r="D96" s="1003"/>
      <c r="E96" s="1003"/>
      <c r="F96" s="1003"/>
      <c r="G96" s="1003"/>
      <c r="H96" s="681">
        <f>5*8*2*4</f>
        <v>320</v>
      </c>
      <c r="I96" s="654"/>
      <c r="K96" s="443"/>
      <c r="L96" s="89"/>
      <c r="M96" s="89"/>
      <c r="N96" s="89"/>
      <c r="O96" s="89"/>
      <c r="P96" s="89"/>
    </row>
    <row r="97" spans="1:16">
      <c r="A97" s="309" t="str">
        <f>PLANILHA!A122</f>
        <v>5.0</v>
      </c>
      <c r="B97" s="310" t="str">
        <f>PLANILHA!D122</f>
        <v xml:space="preserve">LIMPEZA </v>
      </c>
      <c r="C97" s="602"/>
      <c r="D97" s="602"/>
      <c r="E97" s="602"/>
      <c r="F97" s="602"/>
      <c r="G97" s="602"/>
      <c r="H97" s="558"/>
      <c r="I97" s="482"/>
    </row>
    <row r="98" spans="1:16" ht="25.5">
      <c r="A98" s="13" t="str">
        <f>PLANILHA!A123</f>
        <v>5.1</v>
      </c>
      <c r="B98" s="12" t="str">
        <f>PLANILHA!D123</f>
        <v>LIMPEZA DE REVESTIMENTO CERÂMICO EM PAREDE COM PANO ÚMIDO AF_04/2019</v>
      </c>
      <c r="C98" s="978" t="s">
        <v>316</v>
      </c>
      <c r="D98" s="979"/>
      <c r="E98" s="979"/>
      <c r="F98" s="979"/>
      <c r="G98" s="980"/>
      <c r="H98" s="553">
        <v>204.66</v>
      </c>
      <c r="I98" s="482"/>
    </row>
    <row r="99" spans="1:16" s="336" customFormat="1">
      <c r="A99" s="646" t="str">
        <f>PLANILHA!A124</f>
        <v>5.2</v>
      </c>
      <c r="B99" s="647" t="str">
        <f>PLANILHA!D124</f>
        <v>LIMPEZA DE SUPERFÍCIE COM JATO DE ALTA PRESSÃO. AF_04/2019</v>
      </c>
      <c r="C99" s="1000" t="s">
        <v>316</v>
      </c>
      <c r="D99" s="1001"/>
      <c r="E99" s="1001"/>
      <c r="F99" s="1001"/>
      <c r="G99" s="1002"/>
      <c r="H99" s="553">
        <v>204.66</v>
      </c>
      <c r="I99" s="9"/>
      <c r="K99" s="443"/>
      <c r="L99" s="89"/>
      <c r="M99" s="89"/>
      <c r="N99" s="89"/>
      <c r="O99" s="89"/>
      <c r="P99" s="89"/>
    </row>
    <row r="100" spans="1:16">
      <c r="A100" s="661"/>
      <c r="B100" s="648"/>
      <c r="C100" s="649"/>
      <c r="D100" s="649"/>
      <c r="E100" s="650"/>
      <c r="F100" s="650"/>
      <c r="G100" s="651"/>
      <c r="H100" s="662"/>
      <c r="I100" s="482"/>
    </row>
    <row r="101" spans="1:16">
      <c r="A101" s="642"/>
      <c r="B101" s="643"/>
      <c r="C101" s="630"/>
      <c r="D101" s="630"/>
      <c r="E101" s="644"/>
      <c r="F101" s="644"/>
      <c r="G101" s="645"/>
      <c r="H101" s="554"/>
      <c r="I101" s="482"/>
    </row>
    <row r="102" spans="1:16">
      <c r="A102" s="337">
        <f>PLANILHA!A130</f>
        <v>0</v>
      </c>
      <c r="B102" s="9"/>
      <c r="C102" s="259"/>
      <c r="D102" s="259"/>
      <c r="E102" s="316"/>
      <c r="F102" s="316"/>
      <c r="G102" s="317"/>
      <c r="H102" s="560"/>
      <c r="I102" s="482"/>
    </row>
    <row r="103" spans="1:16">
      <c r="A103" s="337"/>
      <c r="B103" s="9"/>
      <c r="C103" s="259"/>
      <c r="D103" s="259"/>
      <c r="E103" s="316"/>
      <c r="F103" s="316"/>
      <c r="G103" s="317"/>
      <c r="H103" s="560"/>
      <c r="I103" s="482"/>
    </row>
    <row r="104" spans="1:16">
      <c r="A104" s="330"/>
      <c r="B104" s="9"/>
      <c r="C104" s="9"/>
      <c r="D104" s="9"/>
      <c r="E104" s="9"/>
      <c r="F104" s="9"/>
      <c r="G104" s="9"/>
      <c r="H104" s="560"/>
      <c r="I104" s="482"/>
    </row>
    <row r="105" spans="1:16">
      <c r="A105" s="330"/>
      <c r="B105" s="9"/>
      <c r="C105" s="9"/>
      <c r="D105" s="9"/>
      <c r="E105" s="9"/>
      <c r="F105" s="9"/>
      <c r="G105" s="9"/>
      <c r="H105" s="560"/>
      <c r="I105" s="482"/>
    </row>
    <row r="106" spans="1:16">
      <c r="A106" s="330"/>
      <c r="B106" s="9"/>
      <c r="C106" s="9"/>
      <c r="D106" s="9"/>
      <c r="E106" s="9"/>
      <c r="F106" s="9"/>
      <c r="G106" s="9"/>
      <c r="H106" s="560"/>
      <c r="I106" s="482"/>
    </row>
    <row r="107" spans="1:16" ht="15.75">
      <c r="A107" s="934" t="s">
        <v>150</v>
      </c>
      <c r="B107" s="935"/>
      <c r="C107" s="935"/>
      <c r="D107" s="935"/>
      <c r="E107" s="935"/>
      <c r="F107" s="935"/>
      <c r="G107" s="935"/>
      <c r="H107" s="936"/>
      <c r="I107" s="103"/>
      <c r="J107" s="103"/>
    </row>
    <row r="108" spans="1:16" ht="15.75">
      <c r="A108" s="940" t="s">
        <v>351</v>
      </c>
      <c r="B108" s="941"/>
      <c r="C108" s="941"/>
      <c r="D108" s="941"/>
      <c r="E108" s="941"/>
      <c r="F108" s="941"/>
      <c r="G108" s="941"/>
      <c r="H108" s="942"/>
      <c r="I108" s="451"/>
      <c r="J108" s="451"/>
    </row>
    <row r="109" spans="1:16" ht="15.75">
      <c r="A109" s="995" t="s">
        <v>350</v>
      </c>
      <c r="B109" s="996"/>
      <c r="C109" s="996"/>
      <c r="D109" s="996"/>
      <c r="E109" s="996"/>
      <c r="F109" s="996"/>
      <c r="G109" s="996"/>
      <c r="H109" s="997"/>
      <c r="I109" s="104"/>
      <c r="J109" s="104"/>
    </row>
    <row r="110" spans="1:16" ht="15.75">
      <c r="A110" s="923"/>
      <c r="B110" s="924"/>
      <c r="C110" s="924"/>
      <c r="D110" s="924"/>
      <c r="E110" s="924"/>
      <c r="F110" s="924"/>
      <c r="G110" s="924"/>
      <c r="H110" s="925"/>
      <c r="I110" s="105"/>
      <c r="J110" s="105"/>
    </row>
    <row r="111" spans="1:16">
      <c r="A111" s="331"/>
      <c r="B111" s="485"/>
      <c r="C111" s="485"/>
      <c r="D111" s="551"/>
      <c r="E111" s="319"/>
      <c r="F111" s="320"/>
      <c r="G111" s="321"/>
      <c r="H111" s="561"/>
      <c r="I111" s="482"/>
    </row>
  </sheetData>
  <mergeCells count="82">
    <mergeCell ref="C93:G93"/>
    <mergeCell ref="A108:H108"/>
    <mergeCell ref="A109:H109"/>
    <mergeCell ref="C57:G57"/>
    <mergeCell ref="C52:G52"/>
    <mergeCell ref="C53:G53"/>
    <mergeCell ref="C71:G71"/>
    <mergeCell ref="C83:G83"/>
    <mergeCell ref="C85:G85"/>
    <mergeCell ref="C92:G92"/>
    <mergeCell ref="C95:G95"/>
    <mergeCell ref="C99:G99"/>
    <mergeCell ref="C96:G96"/>
    <mergeCell ref="C74:G74"/>
    <mergeCell ref="C73:G73"/>
    <mergeCell ref="C75:G75"/>
    <mergeCell ref="C51:G51"/>
    <mergeCell ref="C31:G31"/>
    <mergeCell ref="C35:G35"/>
    <mergeCell ref="C30:G30"/>
    <mergeCell ref="C42:G42"/>
    <mergeCell ref="C47:G47"/>
    <mergeCell ref="C37:G37"/>
    <mergeCell ref="C38:G38"/>
    <mergeCell ref="C39:G39"/>
    <mergeCell ref="C40:G40"/>
    <mergeCell ref="C44:G44"/>
    <mergeCell ref="C50:G50"/>
    <mergeCell ref="C49:G49"/>
    <mergeCell ref="C46:G46"/>
    <mergeCell ref="C45:G45"/>
    <mergeCell ref="C28:G28"/>
    <mergeCell ref="C43:G43"/>
    <mergeCell ref="C29:G29"/>
    <mergeCell ref="C32:G32"/>
    <mergeCell ref="C18:G18"/>
    <mergeCell ref="C22:G22"/>
    <mergeCell ref="C27:G27"/>
    <mergeCell ref="C25:G25"/>
    <mergeCell ref="C21:G21"/>
    <mergeCell ref="C26:G26"/>
    <mergeCell ref="C23:G23"/>
    <mergeCell ref="C33:G33"/>
    <mergeCell ref="C34:G34"/>
    <mergeCell ref="A8:H8"/>
    <mergeCell ref="C17:G17"/>
    <mergeCell ref="C10:G10"/>
    <mergeCell ref="C11:G11"/>
    <mergeCell ref="C12:G12"/>
    <mergeCell ref="C13:G13"/>
    <mergeCell ref="C14:G14"/>
    <mergeCell ref="C15:G15"/>
    <mergeCell ref="C16:G16"/>
    <mergeCell ref="A110:H110"/>
    <mergeCell ref="C56:G56"/>
    <mergeCell ref="A107:H107"/>
    <mergeCell ref="C68:G68"/>
    <mergeCell ref="C67:G67"/>
    <mergeCell ref="C98:G98"/>
    <mergeCell ref="C65:G65"/>
    <mergeCell ref="C90:G90"/>
    <mergeCell ref="C70:G70"/>
    <mergeCell ref="C61:G61"/>
    <mergeCell ref="C86:G86"/>
    <mergeCell ref="C66:G66"/>
    <mergeCell ref="C69:G69"/>
    <mergeCell ref="C59:G59"/>
    <mergeCell ref="C60:G60"/>
    <mergeCell ref="C84:G84"/>
    <mergeCell ref="C54:G54"/>
    <mergeCell ref="C63:G63"/>
    <mergeCell ref="C64:G64"/>
    <mergeCell ref="C91:G91"/>
    <mergeCell ref="C81:G81"/>
    <mergeCell ref="C76:G76"/>
    <mergeCell ref="C77:G77"/>
    <mergeCell ref="C78:G78"/>
    <mergeCell ref="C79:G79"/>
    <mergeCell ref="C80:G80"/>
    <mergeCell ref="C87:G87"/>
    <mergeCell ref="C88:G88"/>
    <mergeCell ref="C62:G62"/>
  </mergeCells>
  <phoneticPr fontId="45" type="noConversion"/>
  <conditionalFormatting sqref="J22:O28">
    <cfRule type="expression" dxfId="1" priority="1" stopIfTrue="1">
      <formula>AND($A22&lt;&gt;"COMPOSICAO",$A22&lt;&gt;"INSUMO",$A22&lt;&gt;"")</formula>
    </cfRule>
    <cfRule type="expression" dxfId="0" priority="2" stopIfTrue="1">
      <formula>AND(OR($A22="COMPOSICAO",$A22="INSUMO",$A22&lt;&gt;""),$A22&lt;&gt;"")</formula>
    </cfRule>
  </conditionalFormatting>
  <printOptions horizontalCentered="1"/>
  <pageMargins left="0.39370078740157483" right="0.23622047244094491" top="0.39370078740157483" bottom="0.19685039370078741" header="0.31496062992125984" footer="0.31496062992125984"/>
  <pageSetup paperSize="9" scale="65"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89"/>
  <sheetViews>
    <sheetView workbookViewId="0">
      <selection activeCell="C30" sqref="C30"/>
    </sheetView>
  </sheetViews>
  <sheetFormatPr defaultColWidth="9.140625" defaultRowHeight="14.25"/>
  <cols>
    <col min="1" max="1" width="18" style="547" customWidth="1"/>
    <col min="2" max="2" width="20.28515625" style="89" customWidth="1"/>
    <col min="3" max="3" width="73.7109375" style="308" customWidth="1"/>
    <col min="4" max="4" width="14.140625" style="89" customWidth="1"/>
    <col min="5" max="5" width="14.5703125" style="89" customWidth="1"/>
    <col min="6" max="6" width="16.5703125" style="89" customWidth="1"/>
    <col min="7" max="7" width="16.7109375" style="89" customWidth="1"/>
    <col min="8" max="14" width="9.140625" style="89"/>
    <col min="15" max="15" width="9.140625" style="89" customWidth="1"/>
    <col min="16" max="16384" width="9.140625" style="89"/>
  </cols>
  <sheetData>
    <row r="1" spans="1:7" ht="15.75">
      <c r="A1" s="655" t="str">
        <f>DADOS!D7</f>
        <v>PREFEITURA MUNICIPAL DE NAVIRAÍ</v>
      </c>
      <c r="B1" s="566"/>
      <c r="C1" s="479"/>
      <c r="D1" s="656" t="s">
        <v>398</v>
      </c>
      <c r="E1" s="248"/>
      <c r="F1" s="248"/>
      <c r="G1" s="249"/>
    </row>
    <row r="2" spans="1:7" ht="15.75">
      <c r="A2" s="159" t="str">
        <f>CONCATENATE("PROJETO: ",DADOS!D12)</f>
        <v>PROJETO: REFORMA CRECHE EVA MORAES DE OLIVEIRA</v>
      </c>
      <c r="B2" s="20"/>
      <c r="C2" s="480"/>
      <c r="D2" s="606" t="s">
        <v>359</v>
      </c>
      <c r="E2" s="23"/>
      <c r="F2" s="23"/>
      <c r="G2" s="250"/>
    </row>
    <row r="3" spans="1:7" ht="15.75">
      <c r="A3" s="160" t="str">
        <f>CONCATENATE("LOCAL: ",DADOS!D8)</f>
        <v>LOCAL: AV. PONTA PORÃ, 858 - NAVIRAÍ</v>
      </c>
      <c r="B3" s="20"/>
      <c r="C3" s="480"/>
      <c r="D3" s="606" t="s">
        <v>355</v>
      </c>
      <c r="E3" s="23"/>
      <c r="F3" s="23"/>
      <c r="G3" s="250"/>
    </row>
    <row r="4" spans="1:7" ht="15.75">
      <c r="A4" s="160" t="str">
        <f>CONCATENATE(DADOS!D13)</f>
        <v>ENCARGOS SOCIAIS DESONERADOS: 83,00%(HORA) 46,50%(MÊS)</v>
      </c>
      <c r="B4" s="20"/>
      <c r="C4" s="480"/>
      <c r="D4" s="156" t="str">
        <f>CONCATENATE("BDI: ",DADOS!D15)</f>
        <v>BDI: MAR/2021 DES.</v>
      </c>
      <c r="E4" s="23"/>
      <c r="F4" s="23"/>
      <c r="G4" s="250"/>
    </row>
    <row r="5" spans="1:7" ht="17.25" customHeight="1">
      <c r="A5" s="255"/>
      <c r="B5" s="20"/>
      <c r="C5" s="481"/>
      <c r="D5" s="24"/>
      <c r="E5" s="25"/>
      <c r="F5" s="25"/>
      <c r="G5" s="251"/>
    </row>
    <row r="6" spans="1:7" ht="22.5">
      <c r="A6" s="1013" t="s">
        <v>48</v>
      </c>
      <c r="B6" s="1014"/>
      <c r="C6" s="1014"/>
      <c r="D6" s="1014"/>
      <c r="E6" s="1014"/>
      <c r="F6" s="1014"/>
      <c r="G6" s="1015"/>
    </row>
    <row r="7" spans="1:7" s="1" customFormat="1">
      <c r="A7" s="1004" t="s">
        <v>272</v>
      </c>
      <c r="B7" s="1004"/>
      <c r="C7" s="1010" t="s">
        <v>255</v>
      </c>
      <c r="D7" s="1010"/>
      <c r="E7" s="1010"/>
      <c r="F7" s="1010"/>
      <c r="G7" s="253" t="s">
        <v>11</v>
      </c>
    </row>
    <row r="8" spans="1:7" s="1" customFormat="1">
      <c r="A8" s="568" t="s">
        <v>172</v>
      </c>
      <c r="B8" s="568" t="s">
        <v>159</v>
      </c>
      <c r="C8" s="568" t="s">
        <v>50</v>
      </c>
      <c r="D8" s="487" t="s">
        <v>51</v>
      </c>
      <c r="E8" s="487" t="s">
        <v>52</v>
      </c>
      <c r="F8" s="487" t="s">
        <v>54</v>
      </c>
      <c r="G8" s="639" t="s">
        <v>53</v>
      </c>
    </row>
    <row r="9" spans="1:7" s="1" customFormat="1" ht="28.5">
      <c r="A9" s="699" t="s">
        <v>49</v>
      </c>
      <c r="B9" s="631">
        <v>4417</v>
      </c>
      <c r="C9" s="702" t="str">
        <f>IFERROR(VLOOKUP(B9,[4]planilhanull!$G$7:$L$6879,2,FALSE),IFERROR(VLOOKUP(B9,[5]JANEIRO_21!$A$9:$E$1593,2,FALSE),IFERROR(VLOOKUP(B9,[6]sheet1!$A$8:$E$5245,2,FALSE),0)))</f>
        <v>SARRAFO NAO APARELHADO *2,5 X 7* CM, EM MACARANDUBA, ANGELIM OU EQUIVALENTE DA REGIAO -  BRUTA</v>
      </c>
      <c r="D9" s="631" t="str">
        <f>IFERROR(VLOOKUP(B9,[4]planilhanull!$G$7:$L$6879,3,FALSE),IFERROR(VLOOKUP(B9,[5]JANEIRO_21!$A$9:$E$1593,2,FALSE),IFERROR(VLOOKUP(B9,[6]sheet1!$A$9:$E$5245,3,FALSE),0)))</f>
        <v xml:space="preserve">M     </v>
      </c>
      <c r="E9" s="632">
        <v>1</v>
      </c>
      <c r="F9" s="703" t="str">
        <f>IFERROR(VLOOKUP(B9,[4]planilhanull!$G$7:$L$6879,5,FALSE),IFERROR(VLOOKUP(B9,[5]JANEIRO_21!$A$9:$E$1593,5,FALSE),IFERROR(VLOOKUP(B9,[6]sheet1!$A$9:$E$5245,5,FALSE),0)))</f>
        <v>5,11</v>
      </c>
      <c r="G9" s="488">
        <f t="shared" ref="G9:G15" si="0">TRUNC(E9*F9,2)</f>
        <v>5.1100000000000003</v>
      </c>
    </row>
    <row r="10" spans="1:7" s="1" customFormat="1" ht="28.5">
      <c r="A10" s="699" t="s">
        <v>49</v>
      </c>
      <c r="B10" s="631">
        <v>4491</v>
      </c>
      <c r="C10" s="702" t="str">
        <f>IFERROR(VLOOKUP(B10,[4]planilhanull!$G$7:$L$6879,2,FALSE),IFERROR(VLOOKUP(B10,[5]JANEIRO_21!$A$9:$E$1593,2,FALSE),IFERROR(VLOOKUP(B10,[6]sheet1!$A$8:$E$5245,2,FALSE),0)))</f>
        <v>PONTALETE *7,5 X 7,5* CM EM PINUS, MISTA OU EQUIVALENTE DA REGIAO - BRUTA</v>
      </c>
      <c r="D10" s="631" t="str">
        <f>IFERROR(VLOOKUP(B10,[4]planilhanull!$G$7:$L$6879,3,FALSE),IFERROR(VLOOKUP(B10,[5]JANEIRO_21!$A$9:$E$1593,2,FALSE),IFERROR(VLOOKUP(B10,[6]sheet1!$A$9:$E$5245,3,FALSE),0)))</f>
        <v xml:space="preserve">M     </v>
      </c>
      <c r="E10" s="632">
        <v>4</v>
      </c>
      <c r="F10" s="703" t="str">
        <f>IFERROR(VLOOKUP(B10,[4]planilhanull!$G$7:$L$6879,5,FALSE),IFERROR(VLOOKUP(B10,[5]JANEIRO_21!$A$9:$E$1593,5,FALSE),IFERROR(VLOOKUP(B10,[6]sheet1!$A$9:$E$5245,5,FALSE),0)))</f>
        <v>4,96</v>
      </c>
      <c r="G10" s="488">
        <f t="shared" si="0"/>
        <v>19.84</v>
      </c>
    </row>
    <row r="11" spans="1:7" s="1" customFormat="1" ht="28.5">
      <c r="A11" s="699" t="s">
        <v>49</v>
      </c>
      <c r="B11" s="631">
        <v>4813</v>
      </c>
      <c r="C11" s="702" t="str">
        <f>IFERROR(VLOOKUP(B11,[4]planilhanull!$G$7:$L$6879,2,FALSE),IFERROR(VLOOKUP(B11,[5]JANEIRO_21!$A$9:$E$1593,2,FALSE),IFERROR(VLOOKUP(B11,[6]sheet1!$A$8:$E$5245,2,FALSE),0)))</f>
        <v>PLACA DE OBRA (PARA CONSTRUCAO CIVIL) EM CHAPA GALVANIZADA *N. 22*, ADESIVADA, DE *2,0 X 1,125* M</v>
      </c>
      <c r="D11" s="631" t="str">
        <f>IFERROR(VLOOKUP(B11,[4]planilhanull!$G$7:$L$6879,3,FALSE),IFERROR(VLOOKUP(B11,[5]JANEIRO_21!$A$9:$E$1593,2,FALSE),IFERROR(VLOOKUP(B11,[6]sheet1!$A$9:$E$5245,3,FALSE),0)))</f>
        <v xml:space="preserve">M2    </v>
      </c>
      <c r="E11" s="632">
        <v>1</v>
      </c>
      <c r="F11" s="703" t="str">
        <f>IFERROR(VLOOKUP(B11,[4]planilhanull!$G$7:$L$6879,5,FALSE),IFERROR(VLOOKUP(B11,[5]JANEIRO_21!$A$9:$E$1593,5,FALSE),IFERROR(VLOOKUP(B11,[6]sheet1!$A$9:$E$5245,5,FALSE),0)))</f>
        <v>225,00</v>
      </c>
      <c r="G11" s="488">
        <f t="shared" si="0"/>
        <v>225</v>
      </c>
    </row>
    <row r="12" spans="1:7" s="1" customFormat="1">
      <c r="A12" s="699" t="s">
        <v>49</v>
      </c>
      <c r="B12" s="631">
        <v>5075</v>
      </c>
      <c r="C12" s="702" t="str">
        <f>IFERROR(VLOOKUP(B12,[4]planilhanull!$G$7:$L$6879,2,FALSE),IFERROR(VLOOKUP(B12,[5]JANEIRO_21!$A$9:$E$1593,2,FALSE),IFERROR(VLOOKUP(B12,[6]sheet1!$A$8:$E$5245,2,FALSE),0)))</f>
        <v>PREGO DE ACO POLIDO COM CABECA 18 X 30 (2 3/4 X 10)</v>
      </c>
      <c r="D12" s="631" t="str">
        <f>IFERROR(VLOOKUP(B12,[4]planilhanull!$G$7:$L$6879,3,FALSE),IFERROR(VLOOKUP(B12,[5]JANEIRO_21!$A$9:$E$1593,2,FALSE),IFERROR(VLOOKUP(B12,[6]sheet1!$A$9:$E$5245,3,FALSE),0)))</f>
        <v xml:space="preserve">KG    </v>
      </c>
      <c r="E12" s="632">
        <v>0.11</v>
      </c>
      <c r="F12" s="703" t="str">
        <f>IFERROR(VLOOKUP(B12,[4]planilhanull!$G$7:$L$6879,5,FALSE),IFERROR(VLOOKUP(B12,[5]JANEIRO_21!$A$9:$E$1593,5,FALSE),IFERROR(VLOOKUP(B12,[6]sheet1!$A$9:$E$5245,5,FALSE),0)))</f>
        <v>16,57</v>
      </c>
      <c r="G12" s="488">
        <f t="shared" si="0"/>
        <v>1.82</v>
      </c>
    </row>
    <row r="13" spans="1:7" s="1" customFormat="1">
      <c r="A13" s="699" t="s">
        <v>49</v>
      </c>
      <c r="B13" s="631">
        <v>88262</v>
      </c>
      <c r="C13" s="702" t="str">
        <f>IFERROR(VLOOKUP(B13,[4]planilhanull!$G$7:$L$6879,2,FALSE),IFERROR(VLOOKUP(B13,[5]JANEIRO_21!$A$9:$E$1593,2,FALSE),IFERROR(VLOOKUP(B13,[6]sheet1!$A$8:$E$5245,2,FALSE),0)))</f>
        <v>CARPINTEIRO DE FORMAS COM ENCARGOS COMPLEMENTARES</v>
      </c>
      <c r="D13" s="631" t="str">
        <f>IFERROR(VLOOKUP(B13,[4]planilhanull!$G$7:$L$6879,3,FALSE),IFERROR(VLOOKUP(B13,[5]JANEIRO_21!$A$9:$E$1593,2,FALSE),IFERROR(VLOOKUP(B13,[6]sheet1!$A$9:$E$5245,3,FALSE),0)))</f>
        <v>H</v>
      </c>
      <c r="E13" s="632">
        <v>1</v>
      </c>
      <c r="F13" s="703" t="str">
        <f>IFERROR(VLOOKUP(B13,[4]planilhanull!$G$7:$L$6879,5,FALSE),IFERROR(VLOOKUP(B13,[5]JANEIRO_21!$A$9:$E$1593,5,FALSE),IFERROR(VLOOKUP(B13,[6]sheet1!$A$9:$E$5245,5,FALSE),0)))</f>
        <v>18,13</v>
      </c>
      <c r="G13" s="488">
        <f t="shared" si="0"/>
        <v>18.13</v>
      </c>
    </row>
    <row r="14" spans="1:7" s="1" customFormat="1">
      <c r="A14" s="699" t="s">
        <v>49</v>
      </c>
      <c r="B14" s="631">
        <v>88316</v>
      </c>
      <c r="C14" s="702" t="str">
        <f>IFERROR(VLOOKUP(B14,[4]planilhanull!$G$7:$L$6879,2,FALSE),IFERROR(VLOOKUP(B14,[5]JANEIRO_21!$A$9:$E$1593,2,FALSE),IFERROR(VLOOKUP(B14,[6]sheet1!$A$8:$E$5245,2,FALSE),0)))</f>
        <v>SERVENTE COM ENCARGOS COMPLEMENTARES</v>
      </c>
      <c r="D14" s="631" t="str">
        <f>IFERROR(VLOOKUP(B14,[4]planilhanull!$G$7:$L$6879,3,FALSE),IFERROR(VLOOKUP(B14,[5]JANEIRO_21!$A$9:$E$1593,2,FALSE),IFERROR(VLOOKUP(B14,[6]sheet1!$A$9:$E$5245,3,FALSE),0)))</f>
        <v>H</v>
      </c>
      <c r="E14" s="632">
        <v>2</v>
      </c>
      <c r="F14" s="703" t="str">
        <f>IFERROR(VLOOKUP(B14,[4]planilhanull!$G$7:$L$6879,5,FALSE),IFERROR(VLOOKUP(B14,[5]JANEIRO_21!$A$9:$E$1593,5,FALSE),IFERROR(VLOOKUP(B14,[6]sheet1!$A$9:$E$5245,5,FALSE),0)))</f>
        <v>14,74</v>
      </c>
      <c r="G14" s="488">
        <f t="shared" si="0"/>
        <v>29.48</v>
      </c>
    </row>
    <row r="15" spans="1:7" s="1" customFormat="1" ht="42.75">
      <c r="A15" s="699" t="s">
        <v>49</v>
      </c>
      <c r="B15" s="631">
        <v>94962</v>
      </c>
      <c r="C15" s="702" t="str">
        <f>IFERROR(VLOOKUP(B15,[4]planilhanull!$G$7:$L$6879,2,FALSE),IFERROR(VLOOKUP(B15,[5]JANEIRO_21!$A$9:$E$1593,2,FALSE),IFERROR(VLOOKUP(B15,[6]sheet1!$A$8:$E$5245,2,FALSE),0)))</f>
        <v>CONCRETO MAGRO PARA LASTRO, TRAÇO 1:4,5:4,5 (EM MASSA SECA DE CIMENTO/ AREIA MÉDIA/ BRITA 1) - PREPARO MECÂNICO COM BETONEIRA 400 L. AF_05/2021</v>
      </c>
      <c r="D15" s="631" t="str">
        <f>IFERROR(VLOOKUP(B15,[4]planilhanull!$G$7:$L$6879,3,FALSE),IFERROR(VLOOKUP(B15,[5]JANEIRO_21!$A$9:$E$1593,2,FALSE),IFERROR(VLOOKUP(B15,[6]sheet1!$A$9:$E$5245,3,FALSE),0)))</f>
        <v>M3</v>
      </c>
      <c r="E15" s="632">
        <v>0.01</v>
      </c>
      <c r="F15" s="703" t="str">
        <f>IFERROR(VLOOKUP(B15,[4]planilhanull!$G$7:$L$6879,5,FALSE),IFERROR(VLOOKUP(B15,[5]JANEIRO_21!$A$9:$E$1593,5,FALSE),IFERROR(VLOOKUP(B15,[6]sheet1!$A$9:$E$5245,5,FALSE),0)))</f>
        <v>267,29</v>
      </c>
      <c r="G15" s="488">
        <f t="shared" si="0"/>
        <v>2.67</v>
      </c>
    </row>
    <row r="16" spans="1:7" s="1" customFormat="1">
      <c r="A16" s="704"/>
      <c r="B16" s="1011" t="s">
        <v>36</v>
      </c>
      <c r="C16" s="1011"/>
      <c r="D16" s="1011"/>
      <c r="E16" s="1011"/>
      <c r="F16" s="1011"/>
      <c r="G16" s="640">
        <f>SUM(G9:G15)</f>
        <v>302.05</v>
      </c>
    </row>
    <row r="17" spans="1:7">
      <c r="A17" s="1004" t="s">
        <v>271</v>
      </c>
      <c r="B17" s="1004"/>
      <c r="C17" s="1010" t="s">
        <v>270</v>
      </c>
      <c r="D17" s="1010"/>
      <c r="E17" s="1010"/>
      <c r="F17" s="1010"/>
      <c r="G17" s="253" t="s">
        <v>14</v>
      </c>
    </row>
    <row r="18" spans="1:7">
      <c r="A18" s="568" t="s">
        <v>172</v>
      </c>
      <c r="B18" s="568" t="s">
        <v>159</v>
      </c>
      <c r="C18" s="568" t="s">
        <v>50</v>
      </c>
      <c r="D18" s="487" t="s">
        <v>51</v>
      </c>
      <c r="E18" s="487" t="s">
        <v>52</v>
      </c>
      <c r="F18" s="487" t="s">
        <v>54</v>
      </c>
      <c r="G18" s="639" t="s">
        <v>53</v>
      </c>
    </row>
    <row r="19" spans="1:7" ht="28.5">
      <c r="A19" s="699" t="s">
        <v>49</v>
      </c>
      <c r="B19" s="633">
        <v>88267</v>
      </c>
      <c r="C19" s="702" t="str">
        <f>IFERROR(VLOOKUP(B19,[4]planilhanull!$G$7:$L$6879,2,FALSE),IFERROR(VLOOKUP(B19,[5]JANEIRO_21!$A$9:$E$1593,2,FALSE),IFERROR(VLOOKUP(B19,[6]sheet1!$A$8:$E$5245,2,FALSE),0)))</f>
        <v>ENCANADOR OU BOMBEIRO HIDRÁULICO COM ENCARGOS COMPLEMENTARES</v>
      </c>
      <c r="D19" s="631" t="str">
        <f>IFERROR(VLOOKUP(B19,[4]planilhanull!$G$7:$L$6879,3,FALSE),IFERROR(VLOOKUP(B19,[5]JANEIRO_21!$A$9:$E$1593,2,FALSE),IFERROR(VLOOKUP(B19,[6]sheet1!$A$9:$E$5245,3,FALSE),0)))</f>
        <v>H</v>
      </c>
      <c r="E19" s="634">
        <v>0.44669999999999999</v>
      </c>
      <c r="F19" s="703" t="str">
        <f>IFERROR(VLOOKUP(B19,[4]planilhanull!$G$7:$L$6879,5,FALSE),IFERROR(VLOOKUP(B19,[5]JANEIRO_21!$A$9:$E$1593,5,FALSE),IFERROR(VLOOKUP(B19,[6]sheet1!$A$9:$E$5245,5,FALSE),0)))</f>
        <v>17,84</v>
      </c>
      <c r="G19" s="488">
        <f>TRUNC(E19*F19,2)</f>
        <v>7.96</v>
      </c>
    </row>
    <row r="20" spans="1:7">
      <c r="A20" s="699" t="s">
        <v>49</v>
      </c>
      <c r="B20" s="633">
        <v>88316</v>
      </c>
      <c r="C20" s="702" t="str">
        <f>IFERROR(VLOOKUP(B20,[4]planilhanull!$G$7:$L$6879,2,FALSE),IFERROR(VLOOKUP(B20,[5]JANEIRO_21!$A$9:$E$1593,2,FALSE),IFERROR(VLOOKUP(B20,[6]sheet1!$A$8:$E$5245,2,FALSE),0)))</f>
        <v>SERVENTE COM ENCARGOS COMPLEMENTARES</v>
      </c>
      <c r="D20" s="631" t="str">
        <f>IFERROR(VLOOKUP(B20,[4]planilhanull!$G$7:$L$6879,3,FALSE),IFERROR(VLOOKUP(B20,[5]JANEIRO_21!$A$9:$E$1593,2,FALSE),IFERROR(VLOOKUP(B20,[6]sheet1!$A$9:$E$5245,3,FALSE),0)))</f>
        <v>H</v>
      </c>
      <c r="E20" s="634">
        <v>0.14069999999999999</v>
      </c>
      <c r="F20" s="703" t="str">
        <f>IFERROR(VLOOKUP(B20,[4]planilhanull!$G$7:$L$6879,5,FALSE),IFERROR(VLOOKUP(B20,[5]JANEIRO_21!$A$9:$E$1593,5,FALSE),IFERROR(VLOOKUP(B20,[6]sheet1!$A$9:$E$5245,5,FALSE),0)))</f>
        <v>14,74</v>
      </c>
      <c r="G20" s="488">
        <f>TRUNC(E20*F20,2)</f>
        <v>2.0699999999999998</v>
      </c>
    </row>
    <row r="21" spans="1:7">
      <c r="A21" s="1005" t="s">
        <v>36</v>
      </c>
      <c r="B21" s="1005"/>
      <c r="C21" s="1005"/>
      <c r="D21" s="1005"/>
      <c r="E21" s="1005"/>
      <c r="F21" s="1005"/>
      <c r="G21" s="640">
        <f>SUM(G19:G20)</f>
        <v>10.029999999999999</v>
      </c>
    </row>
    <row r="22" spans="1:7" s="1" customFormat="1" ht="33" customHeight="1">
      <c r="A22" s="1004" t="s">
        <v>278</v>
      </c>
      <c r="B22" s="1004"/>
      <c r="C22" s="1010" t="s">
        <v>279</v>
      </c>
      <c r="D22" s="1010"/>
      <c r="E22" s="1010"/>
      <c r="F22" s="1010"/>
      <c r="G22" s="253" t="s">
        <v>11</v>
      </c>
    </row>
    <row r="23" spans="1:7" s="1" customFormat="1">
      <c r="A23" s="568" t="s">
        <v>172</v>
      </c>
      <c r="B23" s="568" t="s">
        <v>159</v>
      </c>
      <c r="C23" s="568" t="s">
        <v>50</v>
      </c>
      <c r="D23" s="487" t="s">
        <v>51</v>
      </c>
      <c r="E23" s="487" t="s">
        <v>52</v>
      </c>
      <c r="F23" s="487" t="s">
        <v>54</v>
      </c>
      <c r="G23" s="639" t="s">
        <v>53</v>
      </c>
    </row>
    <row r="24" spans="1:7" s="1" customFormat="1" ht="28.5">
      <c r="A24" s="700" t="s">
        <v>49</v>
      </c>
      <c r="B24" s="635">
        <v>7167</v>
      </c>
      <c r="C24" s="702" t="str">
        <f>IFERROR(VLOOKUP(B24,[4]planilhanull!$G$7:$L$6879,2,FALSE),IFERROR(VLOOKUP(B24,[5]JANEIRO_21!$A$9:$E$1593,2,FALSE),IFERROR(VLOOKUP(B24,[6]sheet1!$A$8:$E$5245,2,FALSE),0)))</f>
        <v>TELA DE ARAME GALVANIZADA QUADRANGULAR / LOSANGULAR, FIO 2,11 MM (14 BWG), MALHA 5 X 5 CM, H = 2 M</v>
      </c>
      <c r="D24" s="631" t="str">
        <f>IFERROR(VLOOKUP(B24,[4]planilhanull!$G$7:$L$6879,3,FALSE),IFERROR(VLOOKUP(B24,[5]JANEIRO_21!$A$9:$E$1593,2,FALSE),IFERROR(VLOOKUP(B24,[6]sheet1!$A$9:$E$5245,3,FALSE),0)))</f>
        <v xml:space="preserve">M2    </v>
      </c>
      <c r="E24" s="636">
        <v>1.1000000000000001</v>
      </c>
      <c r="F24" s="703" t="str">
        <f>IFERROR(VLOOKUP(B24,[4]planilhanull!$G$7:$L$6879,5,FALSE),IFERROR(VLOOKUP(B24,[5]JANEIRO_21!$A$9:$E$1593,5,FALSE),IFERROR(VLOOKUP(B24,[6]sheet1!$A$9:$E$5245,5,FALSE),0)))</f>
        <v>17,23</v>
      </c>
      <c r="G24" s="488">
        <f t="shared" ref="G24:G32" si="1">TRUNC(E24*F24,2)</f>
        <v>18.95</v>
      </c>
    </row>
    <row r="25" spans="1:7" s="1" customFormat="1" ht="28.5">
      <c r="A25" s="700" t="s">
        <v>49</v>
      </c>
      <c r="B25" s="635">
        <v>7697</v>
      </c>
      <c r="C25" s="702" t="str">
        <f>IFERROR(VLOOKUP(B25,[4]planilhanull!$G$7:$L$6879,2,FALSE),IFERROR(VLOOKUP(B25,[5]JANEIRO_21!$A$9:$E$1593,2,FALSE),IFERROR(VLOOKUP(B25,[6]sheet1!$A$8:$E$5245,2,FALSE),0)))</f>
        <v>TUBO ACO GALVANIZADO COM COSTURA, CLASSE MEDIA, DN 1.1/2", E = *3,25* MM, PESO *3,61* KG/M (NBR 5580)</v>
      </c>
      <c r="D25" s="631" t="str">
        <f>IFERROR(VLOOKUP(B25,[4]planilhanull!$G$7:$L$6879,3,FALSE),IFERROR(VLOOKUP(B25,[5]JANEIRO_21!$A$9:$E$1593,2,FALSE),IFERROR(VLOOKUP(B25,[6]sheet1!$A$9:$E$5245,3,FALSE),0)))</f>
        <v xml:space="preserve">M     </v>
      </c>
      <c r="E25" s="637">
        <v>1.4318</v>
      </c>
      <c r="F25" s="703" t="str">
        <f>IFERROR(VLOOKUP(B25,[4]planilhanull!$G$7:$L$6879,5,FALSE),IFERROR(VLOOKUP(B25,[5]JANEIRO_21!$A$9:$E$1593,5,FALSE),IFERROR(VLOOKUP(B25,[6]sheet1!$A$9:$E$5245,5,FALSE),0)))</f>
        <v>61,97</v>
      </c>
      <c r="G25" s="488">
        <f t="shared" si="1"/>
        <v>88.72</v>
      </c>
    </row>
    <row r="26" spans="1:7" s="1" customFormat="1">
      <c r="A26" s="700" t="s">
        <v>49</v>
      </c>
      <c r="B26" s="635">
        <v>10997</v>
      </c>
      <c r="C26" s="702" t="str">
        <f>IFERROR(VLOOKUP(B26,[4]planilhanull!$G$7:$L$6879,2,FALSE),IFERROR(VLOOKUP(B26,[5]JANEIRO_21!$A$9:$E$1593,2,FALSE),IFERROR(VLOOKUP(B26,[6]sheet1!$A$8:$E$5245,2,FALSE),0)))</f>
        <v>ELETRODO REVESTIDO AWS - E7018, DIAMETRO IGUAL A 4,00 MM</v>
      </c>
      <c r="D26" s="631" t="str">
        <f>IFERROR(VLOOKUP(B26,[4]planilhanull!$G$7:$L$6879,3,FALSE),IFERROR(VLOOKUP(B26,[5]JANEIRO_21!$A$9:$E$1593,2,FALSE),IFERROR(VLOOKUP(B26,[6]sheet1!$A$9:$E$5245,3,FALSE),0)))</f>
        <v xml:space="preserve">KG    </v>
      </c>
      <c r="E26" s="637">
        <v>3.37</v>
      </c>
      <c r="F26" s="703" t="str">
        <f>IFERROR(VLOOKUP(B26,[4]planilhanull!$G$7:$L$6879,5,FALSE),IFERROR(VLOOKUP(B26,[5]JANEIRO_21!$A$9:$E$1593,5,FALSE),IFERROR(VLOOKUP(B26,[6]sheet1!$A$9:$E$5245,5,FALSE),0)))</f>
        <v>22,30</v>
      </c>
      <c r="G26" s="488">
        <f t="shared" si="1"/>
        <v>75.150000000000006</v>
      </c>
    </row>
    <row r="27" spans="1:7" s="1" customFormat="1" ht="28.5">
      <c r="A27" s="700" t="s">
        <v>49</v>
      </c>
      <c r="B27" s="635">
        <v>21010</v>
      </c>
      <c r="C27" s="702" t="str">
        <f>IFERROR(VLOOKUP(B27,[4]planilhanull!$G$7:$L$6879,2,FALSE),IFERROR(VLOOKUP(B27,[5]JANEIRO_21!$A$9:$E$1593,2,FALSE),IFERROR(VLOOKUP(B27,[6]sheet1!$A$8:$E$5245,2,FALSE),0)))</f>
        <v>TUBO ACO GALVANIZADO COM COSTURA, CLASSE LEVE, DN 25 MM ( 1"),  E = 2,65 MM,  *2,11* KG/M (NBR 5580)</v>
      </c>
      <c r="D27" s="631" t="str">
        <f>IFERROR(VLOOKUP(B27,[4]planilhanull!$G$7:$L$6879,3,FALSE),IFERROR(VLOOKUP(B27,[5]JANEIRO_21!$A$9:$E$1593,2,FALSE),IFERROR(VLOOKUP(B27,[6]sheet1!$A$9:$E$5245,3,FALSE),0)))</f>
        <v xml:space="preserve">M     </v>
      </c>
      <c r="E27" s="637">
        <v>6.7407000000000004</v>
      </c>
      <c r="F27" s="703" t="str">
        <f>IFERROR(VLOOKUP(B27,[4]planilhanull!$G$7:$L$6879,5,FALSE),IFERROR(VLOOKUP(B27,[5]JANEIRO_21!$A$9:$E$1593,5,FALSE),IFERROR(VLOOKUP(B27,[6]sheet1!$A$9:$E$5245,5,FALSE),0)))</f>
        <v>38,44</v>
      </c>
      <c r="G27" s="488">
        <f t="shared" si="1"/>
        <v>259.11</v>
      </c>
    </row>
    <row r="28" spans="1:7" s="1" customFormat="1">
      <c r="A28" s="700" t="s">
        <v>49</v>
      </c>
      <c r="B28" s="635">
        <v>88315</v>
      </c>
      <c r="C28" s="702" t="str">
        <f>IFERROR(VLOOKUP(B28,[4]planilhanull!$G$7:$L$6879,2,FALSE),IFERROR(VLOOKUP(B28,[5]JANEIRO_21!$A$9:$E$1593,2,FALSE),IFERROR(VLOOKUP(B28,[6]sheet1!$A$8:$E$5245,2,FALSE),0)))</f>
        <v>SERRALHEIRO COM ENCARGOS COMPLEMENTARES</v>
      </c>
      <c r="D28" s="631" t="str">
        <f>IFERROR(VLOOKUP(B28,[4]planilhanull!$G$7:$L$6879,3,FALSE),IFERROR(VLOOKUP(B28,[5]JANEIRO_21!$A$9:$E$1593,2,FALSE),IFERROR(VLOOKUP(B28,[6]sheet1!$A$9:$E$5245,3,FALSE),0)))</f>
        <v>H</v>
      </c>
      <c r="E28" s="637">
        <v>7</v>
      </c>
      <c r="F28" s="703" t="str">
        <f>IFERROR(VLOOKUP(B28,[4]planilhanull!$G$7:$L$6879,5,FALSE),IFERROR(VLOOKUP(B28,[5]JANEIRO_21!$A$9:$E$1593,5,FALSE),IFERROR(VLOOKUP(B28,[6]sheet1!$A$9:$E$5245,5,FALSE),0)))</f>
        <v>18,23</v>
      </c>
      <c r="G28" s="488">
        <f t="shared" si="1"/>
        <v>127.61</v>
      </c>
    </row>
    <row r="29" spans="1:7" s="1" customFormat="1">
      <c r="A29" s="700" t="s">
        <v>49</v>
      </c>
      <c r="B29" s="635">
        <v>88316</v>
      </c>
      <c r="C29" s="702" t="str">
        <f>IFERROR(VLOOKUP(B29,[4]planilhanull!$G$7:$L$6879,2,FALSE),IFERROR(VLOOKUP(B29,[5]JANEIRO_21!$A$9:$E$1593,2,FALSE),IFERROR(VLOOKUP(B29,[6]sheet1!$A$8:$E$5245,2,FALSE),0)))</f>
        <v>SERVENTE COM ENCARGOS COMPLEMENTARES</v>
      </c>
      <c r="D29" s="631" t="str">
        <f>IFERROR(VLOOKUP(B29,[4]planilhanull!$G$7:$L$6879,3,FALSE),IFERROR(VLOOKUP(B29,[5]JANEIRO_21!$A$9:$E$1593,2,FALSE),IFERROR(VLOOKUP(B29,[6]sheet1!$A$9:$E$5245,3,FALSE),0)))</f>
        <v>H</v>
      </c>
      <c r="E29" s="637">
        <v>11.5</v>
      </c>
      <c r="F29" s="703" t="str">
        <f>IFERROR(VLOOKUP(B29,[4]planilhanull!$G$7:$L$6879,5,FALSE),IFERROR(VLOOKUP(B29,[5]JANEIRO_21!$A$9:$E$1593,5,FALSE),IFERROR(VLOOKUP(B29,[6]sheet1!$A$9:$E$5245,5,FALSE),0)))</f>
        <v>14,74</v>
      </c>
      <c r="G29" s="488">
        <f t="shared" si="1"/>
        <v>169.51</v>
      </c>
    </row>
    <row r="30" spans="1:7" s="1" customFormat="1">
      <c r="A30" s="700" t="s">
        <v>49</v>
      </c>
      <c r="B30" s="635">
        <v>88317</v>
      </c>
      <c r="C30" s="702" t="str">
        <f>IFERROR(VLOOKUP(B30,[4]planilhanull!$G$7:$L$6879,2,FALSE),IFERROR(VLOOKUP(B30,[5]JANEIRO_21!$A$9:$E$1593,2,FALSE),IFERROR(VLOOKUP(B30,[6]sheet1!$A$8:$E$5245,2,FALSE),0)))</f>
        <v>SOLDADOR COM ENCARGOS COMPLEMENTARES</v>
      </c>
      <c r="D30" s="631" t="str">
        <f>IFERROR(VLOOKUP(B30,[4]planilhanull!$G$7:$L$6879,3,FALSE),IFERROR(VLOOKUP(B30,[5]JANEIRO_21!$A$9:$E$1593,2,FALSE),IFERROR(VLOOKUP(B30,[6]sheet1!$A$9:$E$5245,3,FALSE),0)))</f>
        <v>H</v>
      </c>
      <c r="E30" s="637">
        <v>4.5</v>
      </c>
      <c r="F30" s="703" t="str">
        <f>IFERROR(VLOOKUP(B30,[4]planilhanull!$G$7:$L$6879,5,FALSE),IFERROR(VLOOKUP(B30,[5]JANEIRO_21!$A$9:$E$1593,5,FALSE),IFERROR(VLOOKUP(B30,[6]sheet1!$A$9:$E$5245,5,FALSE),0)))</f>
        <v>19,05</v>
      </c>
      <c r="G30" s="488">
        <f t="shared" si="1"/>
        <v>85.72</v>
      </c>
    </row>
    <row r="31" spans="1:7" s="1" customFormat="1" ht="42.75">
      <c r="A31" s="700" t="s">
        <v>49</v>
      </c>
      <c r="B31" s="635">
        <v>98764</v>
      </c>
      <c r="C31" s="702" t="str">
        <f>IFERROR(VLOOKUP(B31,[4]planilhanull!$G$7:$L$6879,2,FALSE),IFERROR(VLOOKUP(B31,[5]JANEIRO_21!$A$9:$E$1593,2,FALSE),IFERROR(VLOOKUP(B31,[6]sheet1!$A$8:$E$5245,2,FALSE),0)))</f>
        <v>INVERSOR DE SOLDA MONOFÁSICO DE 160 A, POTÊNCIA DE 5400 W, TENSÃO DE 220 V, PARA SOLDA COM ELETRODOS DE 2,0 A 4,0 MM E PROCESSO TIG - CHP DIURNO. AF_06/2018</v>
      </c>
      <c r="D31" s="631" t="str">
        <f>IFERROR(VLOOKUP(B31,[4]planilhanull!$G$7:$L$6879,3,FALSE),IFERROR(VLOOKUP(B31,[5]JANEIRO_21!$A$9:$E$1593,2,FALSE),IFERROR(VLOOKUP(B31,[6]sheet1!$A$9:$E$5245,3,FALSE),0)))</f>
        <v>CHP</v>
      </c>
      <c r="E31" s="637">
        <v>3.82</v>
      </c>
      <c r="F31" s="703" t="str">
        <f>IFERROR(VLOOKUP(B31,[4]planilhanull!$G$7:$L$6879,5,FALSE),IFERROR(VLOOKUP(B31,[5]JANEIRO_21!$A$9:$E$1593,5,FALSE),IFERROR(VLOOKUP(B31,[6]sheet1!$A$9:$E$5245,5,FALSE),0)))</f>
        <v>4,25</v>
      </c>
      <c r="G31" s="488">
        <f t="shared" si="1"/>
        <v>16.23</v>
      </c>
    </row>
    <row r="32" spans="1:7" s="1" customFormat="1" ht="42.75">
      <c r="A32" s="700" t="s">
        <v>49</v>
      </c>
      <c r="B32" s="635">
        <v>98765</v>
      </c>
      <c r="C32" s="702" t="str">
        <f>IFERROR(VLOOKUP(B32,[4]planilhanull!$G$7:$L$6879,2,FALSE),IFERROR(VLOOKUP(B32,[5]JANEIRO_21!$A$9:$E$1593,2,FALSE),IFERROR(VLOOKUP(B32,[6]sheet1!$A$8:$E$5245,2,FALSE),0)))</f>
        <v>INVERSOR DE SOLDA MONOFÁSICO DE 160 A, POTÊNCIA DE 5400 W, TENSÃO DE 220 V, PARA SOLDA COM ELETRODOS DE 2,0 A 4,0 MM E PROCESSO TIG - CHI DIURNO. AF_06/2018</v>
      </c>
      <c r="D32" s="631" t="str">
        <f>IFERROR(VLOOKUP(B32,[4]planilhanull!$G$7:$L$6879,3,FALSE),IFERROR(VLOOKUP(B32,[5]JANEIRO_21!$A$9:$E$1593,2,FALSE),IFERROR(VLOOKUP(B32,[6]sheet1!$A$9:$E$5245,3,FALSE),0)))</f>
        <v>CHI</v>
      </c>
      <c r="E32" s="637">
        <v>0.67</v>
      </c>
      <c r="F32" s="703" t="str">
        <f>IFERROR(VLOOKUP(B32,[4]planilhanull!$G$7:$L$6879,5,FALSE),IFERROR(VLOOKUP(B32,[5]JANEIRO_21!$A$9:$E$1593,5,FALSE),IFERROR(VLOOKUP(B32,[6]sheet1!$A$9:$E$5245,5,FALSE),0)))</f>
        <v>0,08</v>
      </c>
      <c r="G32" s="488">
        <f t="shared" si="1"/>
        <v>0.05</v>
      </c>
    </row>
    <row r="33" spans="1:7" s="1" customFormat="1">
      <c r="A33" s="1011" t="s">
        <v>36</v>
      </c>
      <c r="B33" s="1011"/>
      <c r="C33" s="1011"/>
      <c r="D33" s="1011"/>
      <c r="E33" s="1011"/>
      <c r="F33" s="1011"/>
      <c r="G33" s="640">
        <f>SUM(G24:G32)</f>
        <v>841.05</v>
      </c>
    </row>
    <row r="34" spans="1:7">
      <c r="A34" s="1004" t="s">
        <v>280</v>
      </c>
      <c r="B34" s="1004"/>
      <c r="C34" s="1009" t="s">
        <v>277</v>
      </c>
      <c r="D34" s="1009"/>
      <c r="E34" s="1009"/>
      <c r="F34" s="1009"/>
      <c r="G34" s="253" t="s">
        <v>14</v>
      </c>
    </row>
    <row r="35" spans="1:7">
      <c r="A35" s="568" t="s">
        <v>172</v>
      </c>
      <c r="B35" s="568" t="s">
        <v>159</v>
      </c>
      <c r="C35" s="568" t="s">
        <v>50</v>
      </c>
      <c r="D35" s="487" t="s">
        <v>51</v>
      </c>
      <c r="E35" s="487" t="s">
        <v>52</v>
      </c>
      <c r="F35" s="487" t="s">
        <v>54</v>
      </c>
      <c r="G35" s="639" t="s">
        <v>53</v>
      </c>
    </row>
    <row r="36" spans="1:7" ht="57">
      <c r="A36" s="699" t="s">
        <v>49</v>
      </c>
      <c r="B36" s="631">
        <v>87519</v>
      </c>
      <c r="C36" s="702" t="str">
        <f>IFERROR(VLOOKUP(B36,[4]planilhanull!$G$7:$L$6879,2,FALSE),IFERROR(VLOOKUP(B36,[5]JANEIRO_21!$A$9:$E$1593,2,FALSE),IFERROR(VLOOKUP(B36,[6]sheet1!$A$8:$E$5245,2,FALSE),0)))</f>
        <v>ALVENARIA DE VEDAÇÃO DE BLOCOS CERÂMICOS FURADOS NA HORIZONTAL DE 9X19X19CM (ESPESSURA 9CM) DE PAREDES COM ÁREA LÍQUIDA MAIOR OU IGUAL A 6M² COM VÃOS E ARGAMASSA DE ASSENTAMENTO COM PREPARO EM BETONEIRA. AF_06/2014</v>
      </c>
      <c r="D36" s="631" t="str">
        <f>IFERROR(VLOOKUP(B36,[4]planilhanull!$G$7:$L$6879,3,FALSE),IFERROR(VLOOKUP(B36,[5]JANEIRO_21!$A$9:$E$1593,2,FALSE),IFERROR(VLOOKUP(B36,[6]sheet1!$A$9:$E$5245,3,FALSE),0)))</f>
        <v>M2</v>
      </c>
      <c r="E36" s="638">
        <v>4</v>
      </c>
      <c r="F36" s="703" t="str">
        <f>IFERROR(VLOOKUP(B36,[4]planilhanull!$G$7:$L$6879,5,FALSE),IFERROR(VLOOKUP(B36,[5]JANEIRO_21!$A$9:$E$1593,5,FALSE),IFERROR(VLOOKUP(B36,[6]sheet1!$A$9:$E$5245,5,FALSE),0)))</f>
        <v>73,07</v>
      </c>
      <c r="G36" s="488">
        <f>TRUNC(E36*F36,2)</f>
        <v>292.27999999999997</v>
      </c>
    </row>
    <row r="37" spans="1:7" ht="42.75">
      <c r="A37" s="699" t="s">
        <v>49</v>
      </c>
      <c r="B37" s="631">
        <v>87894</v>
      </c>
      <c r="C37" s="702" t="str">
        <f>IFERROR(VLOOKUP(B37,[4]planilhanull!$G$7:$L$6879,2,FALSE),IFERROR(VLOOKUP(B37,[5]JANEIRO_21!$A$9:$E$1593,2,FALSE),IFERROR(VLOOKUP(B37,[6]sheet1!$A$8:$E$5245,2,FALSE),0)))</f>
        <v>CHAPISCO APLICADO EM ALVENARIA (SEM PRESENÇA DE VÃOS) E ESTRUTURAS DE CONCRETO DE FACHADA, COM COLHER DE PEDREIRO.  ARGAMASSA TRAÇO 1:3 COM PREPARO EM BETONEIRA 400L. AF_06/2014</v>
      </c>
      <c r="D37" s="631" t="str">
        <f>IFERROR(VLOOKUP(B37,[4]planilhanull!$G$7:$L$6879,3,FALSE),IFERROR(VLOOKUP(B37,[5]JANEIRO_21!$A$9:$E$1593,2,FALSE),IFERROR(VLOOKUP(B37,[6]sheet1!$A$9:$E$5245,3,FALSE),0)))</f>
        <v>M2</v>
      </c>
      <c r="E37" s="638">
        <v>8</v>
      </c>
      <c r="F37" s="703" t="str">
        <f>IFERROR(VLOOKUP(B37,[4]planilhanull!$G$7:$L$6879,5,FALSE),IFERROR(VLOOKUP(B37,[5]JANEIRO_21!$A$9:$E$1593,5,FALSE),IFERROR(VLOOKUP(B37,[6]sheet1!$A$9:$E$5245,5,FALSE),0)))</f>
        <v>4,77</v>
      </c>
      <c r="G37" s="488">
        <f t="shared" ref="G37:G54" si="2">TRUNC(E37*F37,2)</f>
        <v>38.159999999999997</v>
      </c>
    </row>
    <row r="38" spans="1:7" ht="57">
      <c r="A38" s="699" t="s">
        <v>49</v>
      </c>
      <c r="B38" s="631">
        <v>87529</v>
      </c>
      <c r="C38" s="702" t="str">
        <f>IFERROR(VLOOKUP(B38,[4]planilhanull!$G$7:$L$6879,2,FALSE),IFERROR(VLOOKUP(B38,[5]JANEIRO_21!$A$9:$E$1593,2,FALSE),IFERROR(VLOOKUP(B38,[6]sheet1!$A$8:$E$5245,2,FALSE),0)))</f>
        <v>MASSA ÚNICA, PARA RECEBIMENTO DE PINTURA, EM ARGAMASSA TRAÇO 1:2:8, PREPARO MECÂNICO COM BETONEIRA 400L, APLICADA MANUALMENTE EM FACES INTERNAS DE PAREDES, ESPESSURA DE 20MM, COM EXECUÇÃO DE TALISCAS. AF_06/2014</v>
      </c>
      <c r="D38" s="631" t="str">
        <f>IFERROR(VLOOKUP(B38,[4]planilhanull!$G$7:$L$6879,3,FALSE),IFERROR(VLOOKUP(B38,[5]JANEIRO_21!$A$9:$E$1593,2,FALSE),IFERROR(VLOOKUP(B38,[6]sheet1!$A$9:$E$5245,3,FALSE),0)))</f>
        <v>M2</v>
      </c>
      <c r="E38" s="638">
        <v>8</v>
      </c>
      <c r="F38" s="703" t="str">
        <f>IFERROR(VLOOKUP(B38,[4]planilhanull!$G$7:$L$6879,5,FALSE),IFERROR(VLOOKUP(B38,[5]JANEIRO_21!$A$9:$E$1593,5,FALSE),IFERROR(VLOOKUP(B38,[6]sheet1!$A$9:$E$5245,5,FALSE),0)))</f>
        <v>26,87</v>
      </c>
      <c r="G38" s="488">
        <f t="shared" si="2"/>
        <v>214.96</v>
      </c>
    </row>
    <row r="39" spans="1:7" ht="28.5">
      <c r="A39" s="699" t="s">
        <v>49</v>
      </c>
      <c r="B39" s="631">
        <v>88497</v>
      </c>
      <c r="C39" s="702" t="str">
        <f>IFERROR(VLOOKUP(B39,[4]planilhanull!$G$7:$L$6879,2,FALSE),IFERROR(VLOOKUP(B39,[5]JANEIRO_21!$A$9:$E$1593,2,FALSE),IFERROR(VLOOKUP(B39,[6]sheet1!$A$8:$E$5245,2,FALSE),0)))</f>
        <v>APLICAÇÃO E LIXAMENTO DE MASSA LÁTEX EM PAREDES, DUAS DEMÃOS. AF_06/2014</v>
      </c>
      <c r="D39" s="631" t="str">
        <f>IFERROR(VLOOKUP(B39,[4]planilhanull!$G$7:$L$6879,3,FALSE),IFERROR(VLOOKUP(B39,[5]JANEIRO_21!$A$9:$E$1593,2,FALSE),IFERROR(VLOOKUP(B39,[6]sheet1!$A$9:$E$5245,3,FALSE),0)))</f>
        <v>M2</v>
      </c>
      <c r="E39" s="638">
        <v>8</v>
      </c>
      <c r="F39" s="703" t="str">
        <f>IFERROR(VLOOKUP(B39,[4]planilhanull!$G$7:$L$6879,5,FALSE),IFERROR(VLOOKUP(B39,[5]JANEIRO_21!$A$9:$E$1593,5,FALSE),IFERROR(VLOOKUP(B39,[6]sheet1!$A$9:$E$5245,5,FALSE),0)))</f>
        <v>12,06</v>
      </c>
      <c r="G39" s="488">
        <f t="shared" si="2"/>
        <v>96.48</v>
      </c>
    </row>
    <row r="40" spans="1:7" ht="28.5">
      <c r="A40" s="699" t="s">
        <v>49</v>
      </c>
      <c r="B40" s="631">
        <v>88489</v>
      </c>
      <c r="C40" s="702" t="str">
        <f>IFERROR(VLOOKUP(B40,[4]planilhanull!$G$7:$L$6879,2,FALSE),IFERROR(VLOOKUP(B40,[5]JANEIRO_21!$A$9:$E$1593,2,FALSE),IFERROR(VLOOKUP(B40,[6]sheet1!$A$8:$E$5245,2,FALSE),0)))</f>
        <v>APLICAÇÃO MANUAL DE PINTURA COM TINTA LÁTEX ACRÍLICA EM PAREDES, DUAS DEMÃOS. AF_06/2014</v>
      </c>
      <c r="D40" s="631" t="str">
        <f>IFERROR(VLOOKUP(B40,[4]planilhanull!$G$7:$L$6879,3,FALSE),IFERROR(VLOOKUP(B40,[5]JANEIRO_21!$A$9:$E$1593,2,FALSE),IFERROR(VLOOKUP(B40,[6]sheet1!$A$9:$E$5245,3,FALSE),0)))</f>
        <v>M2</v>
      </c>
      <c r="E40" s="638">
        <v>8</v>
      </c>
      <c r="F40" s="703" t="str">
        <f>IFERROR(VLOOKUP(B40,[4]planilhanull!$G$7:$L$6879,5,FALSE),IFERROR(VLOOKUP(B40,[5]JANEIRO_21!$A$9:$E$1593,5,FALSE),IFERROR(VLOOKUP(B40,[6]sheet1!$A$9:$E$5245,5,FALSE),0)))</f>
        <v>12,23</v>
      </c>
      <c r="G40" s="488">
        <f t="shared" si="2"/>
        <v>97.84</v>
      </c>
    </row>
    <row r="41" spans="1:7" ht="28.5">
      <c r="A41" s="699" t="s">
        <v>49</v>
      </c>
      <c r="B41" s="700">
        <v>88488</v>
      </c>
      <c r="C41" s="702" t="str">
        <f>IFERROR(VLOOKUP(B41,[4]planilhanull!$G$7:$L$6879,2,FALSE),IFERROR(VLOOKUP(B41,[5]JANEIRO_21!$A$9:$E$1593,2,FALSE),IFERROR(VLOOKUP(B41,[6]sheet1!$A$8:$E$5245,2,FALSE),0)))</f>
        <v>APLICAÇÃO MANUAL DE PINTURA COM TINTA LÁTEX ACRÍLICA EM TETO, DUAS DEMÃOS. AF_06/2014</v>
      </c>
      <c r="D41" s="631" t="str">
        <f>IFERROR(VLOOKUP(B41,[4]planilhanull!$G$7:$L$6879,3,FALSE),IFERROR(VLOOKUP(B41,[5]JANEIRO_21!$A$9:$E$1593,2,FALSE),IFERROR(VLOOKUP(B41,[6]sheet1!$A$9:$E$5245,3,FALSE),0)))</f>
        <v>M2</v>
      </c>
      <c r="E41" s="638">
        <v>2</v>
      </c>
      <c r="F41" s="703" t="str">
        <f>IFERROR(VLOOKUP(B41,[4]planilhanull!$G$7:$L$6879,5,FALSE),IFERROR(VLOOKUP(B41,[5]JANEIRO_21!$A$9:$E$1593,5,FALSE),IFERROR(VLOOKUP(B41,[6]sheet1!$A$9:$E$5245,5,FALSE),0)))</f>
        <v>13,63</v>
      </c>
      <c r="G41" s="488">
        <f t="shared" si="2"/>
        <v>27.26</v>
      </c>
    </row>
    <row r="42" spans="1:7" ht="42.75">
      <c r="A42" s="699" t="s">
        <v>49</v>
      </c>
      <c r="B42" s="631">
        <v>94965</v>
      </c>
      <c r="C42" s="702" t="str">
        <f>IFERROR(VLOOKUP(B42,[4]planilhanull!$G$7:$L$6879,2,FALSE),IFERROR(VLOOKUP(B42,[5]JANEIRO_21!$A$9:$E$1593,2,FALSE),IFERROR(VLOOKUP(B42,[6]sheet1!$A$8:$E$5245,2,FALSE),0)))</f>
        <v>CONCRETO FCK = 25MPA, TRAÇO 1:2,3:2,7 (EM MASSA SECA DE CIMENTO/ AREIA MÉDIA/ BRITA 1) - PREPARO MECÂNICO COM BETONEIRA 400 L. AF_05/2021</v>
      </c>
      <c r="D42" s="631" t="str">
        <f>IFERROR(VLOOKUP(B42,[4]planilhanull!$G$7:$L$6879,3,FALSE),IFERROR(VLOOKUP(B42,[5]JANEIRO_21!$A$9:$E$1593,2,FALSE),IFERROR(VLOOKUP(B42,[6]sheet1!$A$9:$E$5245,3,FALSE),0)))</f>
        <v>M3</v>
      </c>
      <c r="E42" s="638">
        <v>0.52400000000000002</v>
      </c>
      <c r="F42" s="703" t="str">
        <f>IFERROR(VLOOKUP(B42,[4]planilhanull!$G$7:$L$6879,5,FALSE),IFERROR(VLOOKUP(B42,[5]JANEIRO_21!$A$9:$E$1593,5,FALSE),IFERROR(VLOOKUP(B42,[6]sheet1!$A$9:$E$5245,5,FALSE),0)))</f>
        <v>355,34</v>
      </c>
      <c r="G42" s="488">
        <f t="shared" si="2"/>
        <v>186.19</v>
      </c>
    </row>
    <row r="43" spans="1:7" ht="28.5">
      <c r="A43" s="699" t="s">
        <v>49</v>
      </c>
      <c r="B43" s="631">
        <v>92873</v>
      </c>
      <c r="C43" s="702" t="str">
        <f>IFERROR(VLOOKUP(B43,[4]planilhanull!$G$7:$L$6879,2,FALSE),IFERROR(VLOOKUP(B43,[5]JANEIRO_21!$A$9:$E$1593,2,FALSE),IFERROR(VLOOKUP(B43,[6]sheet1!$A$8:$E$5245,2,FALSE),0)))</f>
        <v>LANÇAMENTO COM USO DE BALDES, ADENSAMENTO E ACABAMENTO DE CONCRETO EM ESTRUTURAS. AF_12/2015</v>
      </c>
      <c r="D43" s="631" t="str">
        <f>IFERROR(VLOOKUP(B43,[4]planilhanull!$G$7:$L$6879,3,FALSE),IFERROR(VLOOKUP(B43,[5]JANEIRO_21!$A$9:$E$1593,2,FALSE),IFERROR(VLOOKUP(B43,[6]sheet1!$A$9:$E$5245,3,FALSE),0)))</f>
        <v>M3</v>
      </c>
      <c r="E43" s="638">
        <v>0.52400000000000002</v>
      </c>
      <c r="F43" s="703" t="str">
        <f>IFERROR(VLOOKUP(B43,[4]planilhanull!$G$7:$L$6879,5,FALSE),IFERROR(VLOOKUP(B43,[5]JANEIRO_21!$A$9:$E$1593,5,FALSE),IFERROR(VLOOKUP(B43,[6]sheet1!$A$9:$E$5245,5,FALSE),0)))</f>
        <v>150,65</v>
      </c>
      <c r="G43" s="488">
        <f t="shared" si="2"/>
        <v>78.94</v>
      </c>
    </row>
    <row r="44" spans="1:7" ht="42.75">
      <c r="A44" s="699" t="s">
        <v>49</v>
      </c>
      <c r="B44" s="631">
        <v>92785</v>
      </c>
      <c r="C44" s="702" t="str">
        <f>IFERROR(VLOOKUP(B44,[4]planilhanull!$G$7:$L$6879,2,FALSE),IFERROR(VLOOKUP(B44,[5]JANEIRO_21!$A$9:$E$1593,2,FALSE),IFERROR(VLOOKUP(B44,[6]sheet1!$A$8:$E$5245,2,FALSE),0)))</f>
        <v>ARMAÇÃO DE LAJE DE UMA ESTRUTURA CONVENCIONAL DE CONCRETO ARMADO EM UMA EDIFICAÇÃO TÉRREA OU SOBRADO UTILIZANDO AÇO CA-50 DE 6,3 MM - MONTAGEM. AF_12/2015</v>
      </c>
      <c r="D44" s="631" t="str">
        <f>IFERROR(VLOOKUP(B44,[4]planilhanull!$G$7:$L$6879,3,FALSE),IFERROR(VLOOKUP(B44,[5]JANEIRO_21!$A$9:$E$1593,2,FALSE),IFERROR(VLOOKUP(B44,[6]sheet1!$A$9:$E$5245,3,FALSE),0)))</f>
        <v>KG</v>
      </c>
      <c r="E44" s="638">
        <v>16</v>
      </c>
      <c r="F44" s="703" t="str">
        <f>IFERROR(VLOOKUP(B44,[4]planilhanull!$G$7:$L$6879,5,FALSE),IFERROR(VLOOKUP(B44,[5]JANEIRO_21!$A$9:$E$1593,5,FALSE),IFERROR(VLOOKUP(B44,[6]sheet1!$A$9:$E$5245,5,FALSE),0)))</f>
        <v>14,65</v>
      </c>
      <c r="G44" s="488">
        <f t="shared" si="2"/>
        <v>234.4</v>
      </c>
    </row>
    <row r="45" spans="1:7" ht="28.5">
      <c r="A45" s="699" t="s">
        <v>49</v>
      </c>
      <c r="B45" s="631">
        <v>92486</v>
      </c>
      <c r="C45" s="702" t="str">
        <f>IFERROR(VLOOKUP(B45,[4]planilhanull!$G$7:$L$6879,2,FALSE),IFERROR(VLOOKUP(B45,[5]JANEIRO_21!$A$9:$E$1593,2,FALSE),IFERROR(VLOOKUP(B45,[6]sheet1!$A$8:$E$5245,2,FALSE),0)))</f>
        <v>MONTAGEM E DESMONTAGEM DE FÔRMA DE LAJE MACIÇA, PÉ-DIREITO SIMPLES, EM MADEIRA SERRADA, 4 UTILIZAÇÕES. AF_09/2020</v>
      </c>
      <c r="D45" s="631" t="str">
        <f>IFERROR(VLOOKUP(B45,[4]planilhanull!$G$7:$L$6879,3,FALSE),IFERROR(VLOOKUP(B45,[5]JANEIRO_21!$A$9:$E$1593,2,FALSE),IFERROR(VLOOKUP(B45,[6]sheet1!$A$9:$E$5245,3,FALSE),0)))</f>
        <v>M2</v>
      </c>
      <c r="E45" s="638">
        <v>2</v>
      </c>
      <c r="F45" s="703" t="str">
        <f>IFERROR(VLOOKUP(B45,[4]planilhanull!$G$7:$L$6879,5,FALSE),IFERROR(VLOOKUP(B45,[5]JANEIRO_21!$A$9:$E$1593,5,FALSE),IFERROR(VLOOKUP(B45,[6]sheet1!$A$9:$E$5245,5,FALSE),0)))</f>
        <v>110,11</v>
      </c>
      <c r="G45" s="488">
        <f t="shared" si="2"/>
        <v>220.22</v>
      </c>
    </row>
    <row r="46" spans="1:7" s="629" customFormat="1" ht="42.75">
      <c r="A46" s="699" t="s">
        <v>177</v>
      </c>
      <c r="B46" s="631" t="str">
        <f>A22</f>
        <v>CMP 03</v>
      </c>
      <c r="C46" s="702" t="str">
        <f>C22</f>
        <v xml:space="preserve">PORTÃO EM TELA ARAME GALVANIZADO N.12 MALHA 2" E MOLDURA EM TUBOS DE AÇO COM DUAS FOLHAS DE ABRIR, INCLUSO FERRAGENS - FORNECIMENTO E INSTALAÇÃO </v>
      </c>
      <c r="D46" s="631" t="str">
        <f>G22</f>
        <v>M2</v>
      </c>
      <c r="E46" s="638">
        <v>4</v>
      </c>
      <c r="F46" s="703">
        <f>G33</f>
        <v>841.05</v>
      </c>
      <c r="G46" s="488">
        <f t="shared" si="2"/>
        <v>3364.2</v>
      </c>
    </row>
    <row r="47" spans="1:7" ht="28.5">
      <c r="A47" s="699" t="s">
        <v>49</v>
      </c>
      <c r="B47" s="631">
        <v>101173</v>
      </c>
      <c r="C47" s="702" t="str">
        <f>IFERROR(VLOOKUP(B47,[4]planilhanull!$G$7:$L$6879,2,FALSE),IFERROR(VLOOKUP(B47,[5]JANEIRO_21!$A$9:$E$1593,2,FALSE),IFERROR(VLOOKUP(B47,[6]sheet1!$A$8:$E$5245,2,FALSE),0)))</f>
        <v>ESTACA BROCA DE CONCRETO, DIÂMETRO DE 20CM, ESCAVAÇÃO MANUAL COM TRADO CONCHA, COM ARMADURA DE ARRANQUE. AF_05/2020</v>
      </c>
      <c r="D47" s="631" t="str">
        <f>IFERROR(VLOOKUP(B47,[4]planilhanull!$G$7:$L$6879,3,FALSE),IFERROR(VLOOKUP(B47,[5]JANEIRO_21!$A$9:$E$1593,2,FALSE),IFERROR(VLOOKUP(B47,[6]sheet1!$A$9:$E$5245,3,FALSE),0)))</f>
        <v>M</v>
      </c>
      <c r="E47" s="638">
        <v>8</v>
      </c>
      <c r="F47" s="703" t="str">
        <f>IFERROR(VLOOKUP(B47,[4]planilhanull!$G$7:$L$6879,5,FALSE),IFERROR(VLOOKUP(B47,[5]JANEIRO_21!$A$9:$E$1593,5,FALSE),IFERROR(VLOOKUP(B47,[6]sheet1!$A$9:$E$5245,5,FALSE),0)))</f>
        <v>47,71</v>
      </c>
      <c r="G47" s="488">
        <f t="shared" si="2"/>
        <v>381.68</v>
      </c>
    </row>
    <row r="48" spans="1:7" ht="42.75">
      <c r="A48" s="699" t="s">
        <v>49</v>
      </c>
      <c r="B48" s="631">
        <v>92775</v>
      </c>
      <c r="C48" s="702" t="str">
        <f>IFERROR(VLOOKUP(B48,[4]planilhanull!$G$7:$L$6879,2,FALSE),IFERROR(VLOOKUP(B48,[5]JANEIRO_21!$A$9:$E$1593,2,FALSE),IFERROR(VLOOKUP(B48,[6]sheet1!$A$8:$E$5245,2,FALSE),0)))</f>
        <v>ARMAÇÃO DE PILAR OU VIGA DE UMA ESTRUTURA CONVENCIONAL DE CONCRETO ARMADO EM UMA EDIFICAÇÃO TÉRREA OU SOBRADO UTILIZANDO AÇO CA-60 DE 5,0 MM - MONTAGEM. AF_12/2015</v>
      </c>
      <c r="D48" s="631" t="str">
        <f>IFERROR(VLOOKUP(B48,[4]planilhanull!$G$7:$L$6879,3,FALSE),IFERROR(VLOOKUP(B48,[5]JANEIRO_21!$A$9:$E$1593,2,FALSE),IFERROR(VLOOKUP(B48,[6]sheet1!$A$9:$E$5245,3,FALSE),0)))</f>
        <v>KG</v>
      </c>
      <c r="E48" s="638">
        <v>5.49</v>
      </c>
      <c r="F48" s="703" t="str">
        <f>IFERROR(VLOOKUP(B48,[4]planilhanull!$G$7:$L$6879,5,FALSE),IFERROR(VLOOKUP(B48,[5]JANEIRO_21!$A$9:$E$1593,5,FALSE),IFERROR(VLOOKUP(B48,[6]sheet1!$A$9:$E$5245,5,FALSE),0)))</f>
        <v>16,64</v>
      </c>
      <c r="G48" s="488">
        <f t="shared" si="2"/>
        <v>91.35</v>
      </c>
    </row>
    <row r="49" spans="1:7" ht="42.75">
      <c r="A49" s="699" t="s">
        <v>49</v>
      </c>
      <c r="B49" s="631">
        <v>92777</v>
      </c>
      <c r="C49" s="702" t="str">
        <f>IFERROR(VLOOKUP(B49,[4]planilhanull!$G$7:$L$6879,2,FALSE),IFERROR(VLOOKUP(B49,[5]JANEIRO_21!$A$9:$E$1593,2,FALSE),IFERROR(VLOOKUP(B49,[6]sheet1!$A$8:$E$5245,2,FALSE),0)))</f>
        <v>ARMAÇÃO DE PILAR OU VIGA DE UMA ESTRUTURA CONVENCIONAL DE CONCRETO ARMADO EM UMA EDIFICAÇÃO TÉRREA OU SOBRADO UTILIZANDO AÇO CA-50 DE 8,0 MM - MONTAGEM. AF_12/2015</v>
      </c>
      <c r="D49" s="631" t="str">
        <f>IFERROR(VLOOKUP(B49,[4]planilhanull!$G$7:$L$6879,3,FALSE),IFERROR(VLOOKUP(B49,[5]JANEIRO_21!$A$9:$E$1593,2,FALSE),IFERROR(VLOOKUP(B49,[6]sheet1!$A$9:$E$5245,3,FALSE),0)))</f>
        <v>KG</v>
      </c>
      <c r="E49" s="638">
        <v>12.64</v>
      </c>
      <c r="F49" s="703" t="str">
        <f>IFERROR(VLOOKUP(B49,[4]planilhanull!$G$7:$L$6879,5,FALSE),IFERROR(VLOOKUP(B49,[5]JANEIRO_21!$A$9:$E$1593,5,FALSE),IFERROR(VLOOKUP(B49,[6]sheet1!$A$9:$E$5245,5,FALSE),0)))</f>
        <v>15,04</v>
      </c>
      <c r="G49" s="488">
        <f t="shared" si="2"/>
        <v>190.1</v>
      </c>
    </row>
    <row r="50" spans="1:7" ht="42.75">
      <c r="A50" s="699" t="s">
        <v>49</v>
      </c>
      <c r="B50" s="631">
        <v>92413</v>
      </c>
      <c r="C50" s="702" t="str">
        <f>IFERROR(VLOOKUP(B50,[4]planilhanull!$G$7:$L$6879,2,FALSE),IFERROR(VLOOKUP(B50,[5]JANEIRO_21!$A$9:$E$1593,2,FALSE),IFERROR(VLOOKUP(B50,[6]sheet1!$A$8:$E$5245,2,FALSE),0)))</f>
        <v>MONTAGEM E DESMONTAGEM DE FÔRMA DE PILARES RETANGULARES E ESTRUTURAS SIMILARES, PÉ-DIREITO SIMPLES, EM MADEIRA SERRADA, 4 UTILIZAÇÕES. AF_09/2020</v>
      </c>
      <c r="D50" s="631" t="str">
        <f>IFERROR(VLOOKUP(B50,[4]planilhanull!$G$7:$L$6879,3,FALSE),IFERROR(VLOOKUP(B50,[5]JANEIRO_21!$A$9:$E$1593,2,FALSE),IFERROR(VLOOKUP(B50,[6]sheet1!$A$9:$E$5245,3,FALSE),0)))</f>
        <v>M2</v>
      </c>
      <c r="E50" s="638">
        <v>1.56</v>
      </c>
      <c r="F50" s="703" t="str">
        <f>IFERROR(VLOOKUP(B50,[4]planilhanull!$G$7:$L$6879,5,FALSE),IFERROR(VLOOKUP(B50,[5]JANEIRO_21!$A$9:$E$1593,5,FALSE),IFERROR(VLOOKUP(B50,[6]sheet1!$A$9:$E$5245,5,FALSE),0)))</f>
        <v>85,86</v>
      </c>
      <c r="G50" s="488">
        <f t="shared" si="2"/>
        <v>133.94</v>
      </c>
    </row>
    <row r="51" spans="1:7" ht="42.75">
      <c r="A51" s="699" t="s">
        <v>49</v>
      </c>
      <c r="B51" s="631">
        <v>92448</v>
      </c>
      <c r="C51" s="702" t="str">
        <f>IFERROR(VLOOKUP(B51,[4]planilhanull!$G$7:$L$6879,2,FALSE),IFERROR(VLOOKUP(B51,[5]JANEIRO_21!$A$9:$E$1593,2,FALSE),IFERROR(VLOOKUP(B51,[6]sheet1!$A$8:$E$5245,2,FALSE),0)))</f>
        <v>MONTAGEM E DESMONTAGEM DE FÔRMA DE VIGA, ESCORAMENTO COM PONTALETE DE MADEIRA, PÉ-DIREITO SIMPLES, EM MADEIRA SERRADA, 4 UTILIZAÇÕES. AF_09/2020</v>
      </c>
      <c r="D51" s="631" t="str">
        <f>IFERROR(VLOOKUP(B51,[4]planilhanull!$G$7:$L$6879,3,FALSE),IFERROR(VLOOKUP(B51,[5]JANEIRO_21!$A$9:$E$1593,2,FALSE),IFERROR(VLOOKUP(B51,[6]sheet1!$A$9:$E$5245,3,FALSE),0)))</f>
        <v>M2</v>
      </c>
      <c r="E51" s="638">
        <v>1.2</v>
      </c>
      <c r="F51" s="703" t="str">
        <f>IFERROR(VLOOKUP(B51,[4]planilhanull!$G$7:$L$6879,5,FALSE),IFERROR(VLOOKUP(B51,[5]JANEIRO_21!$A$9:$E$1593,5,FALSE),IFERROR(VLOOKUP(B51,[6]sheet1!$A$9:$E$5245,5,FALSE),0)))</f>
        <v>108,44</v>
      </c>
      <c r="G51" s="488">
        <f t="shared" si="2"/>
        <v>130.12</v>
      </c>
    </row>
    <row r="52" spans="1:7" ht="28.5">
      <c r="A52" s="699" t="s">
        <v>49</v>
      </c>
      <c r="B52" s="631">
        <v>96527</v>
      </c>
      <c r="C52" s="702" t="str">
        <f>IFERROR(VLOOKUP(B52,[4]planilhanull!$G$7:$L$6879,2,FALSE),IFERROR(VLOOKUP(B52,[5]JANEIRO_21!$A$9:$E$1593,2,FALSE),IFERROR(VLOOKUP(B52,[6]sheet1!$A$8:$E$5245,2,FALSE),0)))</f>
        <v>ESCAVAÇÃO MANUAL DE VALA PARA VIGA BALDRAME, COM PREVISÃO DE FÔRMA. AF_06/2017</v>
      </c>
      <c r="D52" s="631" t="str">
        <f>IFERROR(VLOOKUP(B52,[4]planilhanull!$G$7:$L$6879,3,FALSE),IFERROR(VLOOKUP(B52,[5]JANEIRO_21!$A$9:$E$1593,2,FALSE),IFERROR(VLOOKUP(B52,[6]sheet1!$A$9:$E$5245,3,FALSE),0)))</f>
        <v>M3</v>
      </c>
      <c r="E52" s="638">
        <v>0.2</v>
      </c>
      <c r="F52" s="703" t="str">
        <f>IFERROR(VLOOKUP(B52,[4]planilhanull!$G$7:$L$6879,5,FALSE),IFERROR(VLOOKUP(B52,[5]JANEIRO_21!$A$9:$E$1593,5,FALSE),IFERROR(VLOOKUP(B52,[6]sheet1!$A$9:$E$5245,5,FALSE),0)))</f>
        <v>87,71</v>
      </c>
      <c r="G52" s="488">
        <f t="shared" si="2"/>
        <v>17.54</v>
      </c>
    </row>
    <row r="53" spans="1:7" ht="28.5">
      <c r="A53" s="699" t="s">
        <v>49</v>
      </c>
      <c r="B53" s="631">
        <v>95241</v>
      </c>
      <c r="C53" s="702" t="str">
        <f>IFERROR(VLOOKUP(B53,[4]planilhanull!$G$7:$L$6879,2,FALSE),IFERROR(VLOOKUP(B53,[5]JANEIRO_21!$A$9:$E$1593,2,FALSE),IFERROR(VLOOKUP(B53,[6]sheet1!$A$8:$E$5245,2,FALSE),0)))</f>
        <v>LASTRO DE CONCRETO MAGRO, APLICADO EM PISOS, LAJES SOBRE SOLO OU RADIERS, ESPESSURA DE 5 CM. AF_07/2016</v>
      </c>
      <c r="D53" s="631" t="str">
        <f>IFERROR(VLOOKUP(B53,[4]planilhanull!$G$7:$L$6879,3,FALSE),IFERROR(VLOOKUP(B53,[5]JANEIRO_21!$A$9:$E$1593,2,FALSE),IFERROR(VLOOKUP(B53,[6]sheet1!$A$9:$E$5245,3,FALSE),0)))</f>
        <v>M2</v>
      </c>
      <c r="E53" s="638">
        <v>0.09</v>
      </c>
      <c r="F53" s="703" t="str">
        <f>IFERROR(VLOOKUP(B53,[4]planilhanull!$G$7:$L$6879,5,FALSE),IFERROR(VLOOKUP(B53,[5]JANEIRO_21!$A$9:$E$1593,5,FALSE),IFERROR(VLOOKUP(B53,[6]sheet1!$A$9:$E$5245,5,FALSE),0)))</f>
        <v>21,04</v>
      </c>
      <c r="G53" s="488">
        <f t="shared" si="2"/>
        <v>1.89</v>
      </c>
    </row>
    <row r="54" spans="1:7" ht="42.75">
      <c r="A54" s="699" t="s">
        <v>49</v>
      </c>
      <c r="B54" s="631">
        <v>96542</v>
      </c>
      <c r="C54" s="702" t="str">
        <f>IFERROR(VLOOKUP(B54,[4]planilhanull!$G$7:$L$6879,2,FALSE),IFERROR(VLOOKUP(B54,[5]JANEIRO_21!$A$9:$E$1593,2,FALSE),IFERROR(VLOOKUP(B54,[6]sheet1!$A$8:$E$5245,2,FALSE),0)))</f>
        <v>FABRICAÇÃO, MONTAGEM E DESMONTAGEM DE FÔRMA PARA VIGA BALDRAME, EM CHAPA DE MADEIRA COMPENSADA RESINADA, E=17 MM, 4 UTILIZAÇÕES. AF_06/2017</v>
      </c>
      <c r="D54" s="631" t="str">
        <f>IFERROR(VLOOKUP(B54,[4]planilhanull!$G$7:$L$6879,3,FALSE),IFERROR(VLOOKUP(B54,[5]JANEIRO_21!$A$9:$E$1593,2,FALSE),IFERROR(VLOOKUP(B54,[6]sheet1!$A$9:$E$5245,3,FALSE),0)))</f>
        <v>M2</v>
      </c>
      <c r="E54" s="638">
        <v>1.2</v>
      </c>
      <c r="F54" s="703" t="str">
        <f>IFERROR(VLOOKUP(B54,[4]planilhanull!$G$7:$L$6879,5,FALSE),IFERROR(VLOOKUP(B54,[5]JANEIRO_21!$A$9:$E$1593,5,FALSE),IFERROR(VLOOKUP(B54,[6]sheet1!$A$9:$E$5245,5,FALSE),0)))</f>
        <v>62,74</v>
      </c>
      <c r="G54" s="488">
        <f t="shared" si="2"/>
        <v>75.28</v>
      </c>
    </row>
    <row r="55" spans="1:7" ht="42.75">
      <c r="A55" s="699" t="s">
        <v>49</v>
      </c>
      <c r="B55" s="631">
        <v>96840</v>
      </c>
      <c r="C55" s="702" t="str">
        <f>IFERROR(VLOOKUP(B55,[4]planilhanull!$G$7:$L$6879,2,FALSE),IFERROR(VLOOKUP(B55,[5]JANEIRO_21!$A$9:$E$1593,2,FALSE),IFERROR(VLOOKUP(B55,[6]sheet1!$A$8:$E$5245,2,FALSE),0)))</f>
        <v>JOELHO 90 GRAUS, METÁLICO, PARA INSTALAÇÕES EM PEX, DN 20 MM, CONEXÃO POR ANEL DESLIZANTE  FORNECIMENTO E INSTALAÇÃO . AF_06/2015</v>
      </c>
      <c r="D55" s="631" t="str">
        <f>IFERROR(VLOOKUP(B55,[4]planilhanull!$G$7:$L$6879,3,FALSE),IFERROR(VLOOKUP(B55,[5]JANEIRO_21!$A$9:$E$1593,2,FALSE),IFERROR(VLOOKUP(B55,[6]sheet1!$A$9:$E$5245,3,FALSE),0)))</f>
        <v>UN</v>
      </c>
      <c r="E55" s="638">
        <v>4</v>
      </c>
      <c r="F55" s="703" t="str">
        <f>IFERROR(VLOOKUP(B55,[4]planilhanull!$G$7:$L$6879,5,FALSE),IFERROR(VLOOKUP(B55,[5]JANEIRO_21!$A$9:$E$1593,5,FALSE),IFERROR(VLOOKUP(B55,[6]sheet1!$A$9:$E$5245,5,FALSE),0)))</f>
        <v>25,82</v>
      </c>
      <c r="G55" s="488">
        <f t="shared" ref="G55:G56" si="3">TRUNC(E55*F55,2)</f>
        <v>103.28</v>
      </c>
    </row>
    <row r="56" spans="1:7" ht="28.5">
      <c r="A56" s="699" t="s">
        <v>49</v>
      </c>
      <c r="B56" s="631">
        <v>96795</v>
      </c>
      <c r="C56" s="702" t="str">
        <f>IFERROR(VLOOKUP(B56,[4]planilhanull!$G$7:$L$6879,2,FALSE),IFERROR(VLOOKUP(B56,[5]JANEIRO_21!$A$9:$E$1593,2,FALSE),IFERROR(VLOOKUP(B56,[6]sheet1!$A$8:$E$5245,2,FALSE),0)))</f>
        <v>TUBO, PEX, MONOCAMADA, DN 20, INSTALADO EM RAMAL OU SUB-RAMAL DE ÁGUA  FORNECIMENTO E INSTALAÇÃO. AF_06/2015</v>
      </c>
      <c r="D56" s="631" t="str">
        <f>IFERROR(VLOOKUP(B56,[4]planilhanull!$G$7:$L$6879,3,FALSE),IFERROR(VLOOKUP(B56,[5]JANEIRO_21!$A$9:$E$1593,2,FALSE),IFERROR(VLOOKUP(B56,[6]sheet1!$A$9:$E$5245,3,FALSE),0)))</f>
        <v>M</v>
      </c>
      <c r="E56" s="638">
        <v>22</v>
      </c>
      <c r="F56" s="703" t="str">
        <f>IFERROR(VLOOKUP(B56,[4]planilhanull!$G$7:$L$6879,5,FALSE),IFERROR(VLOOKUP(B56,[5]JANEIRO_21!$A$9:$E$1593,5,FALSE),IFERROR(VLOOKUP(B56,[6]sheet1!$A$9:$E$5245,5,FALSE),0)))</f>
        <v>10,32</v>
      </c>
      <c r="G56" s="488">
        <f t="shared" si="3"/>
        <v>227.04</v>
      </c>
    </row>
    <row r="57" spans="1:7">
      <c r="A57" s="1005" t="s">
        <v>36</v>
      </c>
      <c r="B57" s="1005"/>
      <c r="C57" s="1005"/>
      <c r="D57" s="1005"/>
      <c r="E57" s="1005"/>
      <c r="F57" s="1005"/>
      <c r="G57" s="640">
        <f>SUM(G36:G56)</f>
        <v>6203.1500000000005</v>
      </c>
    </row>
    <row r="58" spans="1:7" s="1" customFormat="1">
      <c r="A58" s="1004" t="s">
        <v>325</v>
      </c>
      <c r="B58" s="1004"/>
      <c r="C58" s="1010" t="s">
        <v>326</v>
      </c>
      <c r="D58" s="1010"/>
      <c r="E58" s="1010"/>
      <c r="F58" s="1010"/>
      <c r="G58" s="253" t="s">
        <v>14</v>
      </c>
    </row>
    <row r="59" spans="1:7" s="1" customFormat="1">
      <c r="A59" s="568" t="s">
        <v>172</v>
      </c>
      <c r="B59" s="568" t="s">
        <v>159</v>
      </c>
      <c r="C59" s="568" t="s">
        <v>50</v>
      </c>
      <c r="D59" s="487" t="s">
        <v>51</v>
      </c>
      <c r="E59" s="487" t="s">
        <v>52</v>
      </c>
      <c r="F59" s="487" t="s">
        <v>54</v>
      </c>
      <c r="G59" s="639" t="s">
        <v>53</v>
      </c>
    </row>
    <row r="60" spans="1:7" s="1" customFormat="1">
      <c r="A60" s="700" t="s">
        <v>173</v>
      </c>
      <c r="B60" s="635">
        <v>201002046</v>
      </c>
      <c r="C60" s="702" t="str">
        <f>IFERROR(VLOOKUP(B60,[4]planilhanull!$G$7:$L$6879,2,FALSE),IFERROR(VLOOKUP(B60,[5]JANEIRO_21!$A$9:$E$1593,2,FALSE),IFERROR(VLOOKUP(B60,[6]sheet1!$A$8:$E$5245,2,FALSE),0)))</f>
        <v>DEMOLICAO DE PISO CIMENTADO, INCLUSIVE LASTRO DE CONCRETO /M3</v>
      </c>
      <c r="D60" s="631" t="s">
        <v>274</v>
      </c>
      <c r="E60" s="636">
        <v>0.5</v>
      </c>
      <c r="F60" s="703">
        <f>IFERROR(VLOOKUP(B60,[4]planilhanull!$G$7:$L$6879,5,FALSE),IFERROR(VLOOKUP(B60,[5]JANEIRO_21!$A$9:$E$1593,5,FALSE),IFERROR(VLOOKUP(B60,[6]sheet1!$A$9:$E$5245,5,FALSE),0)))</f>
        <v>160.05000000000001</v>
      </c>
      <c r="G60" s="488">
        <f t="shared" ref="G60" si="4">TRUNC(E60*F60,2)</f>
        <v>80.02</v>
      </c>
    </row>
    <row r="61" spans="1:7" s="1" customFormat="1" ht="28.5">
      <c r="A61" s="700" t="s">
        <v>49</v>
      </c>
      <c r="B61" s="635">
        <v>97622</v>
      </c>
      <c r="C61" s="702" t="str">
        <f>IFERROR(VLOOKUP(B61,[4]planilhanull!$G$7:$L$6879,2,FALSE),IFERROR(VLOOKUP(B61,[5]JANEIRO_21!$A$9:$E$1593,2,FALSE),IFERROR(VLOOKUP(B61,[6]sheet1!$A$8:$E$5245,2,FALSE),0)))</f>
        <v>DEMOLIÇÃO DE ALVENARIA DE BLOCO FURADO, DE FORMA MANUAL, SEM REAPROVEITAMENTO. AF_12/2017</v>
      </c>
      <c r="D61" s="631" t="str">
        <f>IFERROR(VLOOKUP(B61,[4]planilhanull!$G$7:$L$6879,3,FALSE),IFERROR(VLOOKUP(B61,[5]JANEIRO_21!$A$9:$E$1593,2,FALSE),IFERROR(VLOOKUP(B61,[6]sheet1!$A$9:$E$5245,3,FALSE),0)))</f>
        <v>M3</v>
      </c>
      <c r="E61" s="636">
        <v>1.2</v>
      </c>
      <c r="F61" s="703" t="str">
        <f>IFERROR(VLOOKUP(B61,[4]planilhanull!$G$7:$L$6879,5,FALSE),IFERROR(VLOOKUP(B61,[5]JANEIRO_21!$A$9:$E$1593,5,FALSE),IFERROR(VLOOKUP(B61,[6]sheet1!$A$9:$E$5245,5,FALSE),0)))</f>
        <v>38,38</v>
      </c>
      <c r="G61" s="488">
        <f t="shared" ref="G61" si="5">TRUNC(E61*F61,2)</f>
        <v>46.05</v>
      </c>
    </row>
    <row r="62" spans="1:7" s="1" customFormat="1" ht="28.5">
      <c r="A62" s="700" t="s">
        <v>49</v>
      </c>
      <c r="B62" s="635">
        <v>96529</v>
      </c>
      <c r="C62" s="702" t="str">
        <f>IFERROR(VLOOKUP(B62,[4]planilhanull!$G$7:$L$6879,2,FALSE),IFERROR(VLOOKUP(B62,[5]JANEIRO_21!$A$9:$E$1593,2,FALSE),IFERROR(VLOOKUP(B62,[6]sheet1!$A$8:$E$5245,2,FALSE),0)))</f>
        <v>FABRICAÇÃO, MONTAGEM E DESMONTAGEM DE FÔRMA PARA SAPATA, EM MADEIRA SERRADA, E=25 MM, 1 UTILIZAÇÃO. AF_06/2017</v>
      </c>
      <c r="D62" s="631" t="str">
        <f>IFERROR(VLOOKUP(B62,[4]planilhanull!$G$7:$L$6879,3,FALSE),IFERROR(VLOOKUP(B62,[5]JANEIRO_21!$A$9:$E$1593,2,FALSE),IFERROR(VLOOKUP(B62,[6]sheet1!$A$9:$E$5245,3,FALSE),0)))</f>
        <v>M2</v>
      </c>
      <c r="E62" s="636">
        <v>1.32</v>
      </c>
      <c r="F62" s="703" t="str">
        <f>IFERROR(VLOOKUP(B62,[4]planilhanull!$G$7:$L$6879,5,FALSE),IFERROR(VLOOKUP(B62,[5]JANEIRO_21!$A$9:$E$1593,5,FALSE),IFERROR(VLOOKUP(B62,[6]sheet1!$A$9:$E$5245,5,FALSE),0)))</f>
        <v>235,77</v>
      </c>
      <c r="G62" s="488">
        <f t="shared" ref="G62:G67" si="6">TRUNC(E62*F62,2)</f>
        <v>311.20999999999998</v>
      </c>
    </row>
    <row r="63" spans="1:7" s="1" customFormat="1" ht="42.75">
      <c r="A63" s="700" t="s">
        <v>49</v>
      </c>
      <c r="B63" s="635">
        <v>92413</v>
      </c>
      <c r="C63" s="702" t="str">
        <f>IFERROR(VLOOKUP(B63,[4]planilhanull!$G$7:$L$6879,2,FALSE),IFERROR(VLOOKUP(B63,[5]JANEIRO_21!$A$9:$E$1593,2,FALSE),IFERROR(VLOOKUP(B63,[6]sheet1!$A$8:$E$5245,2,FALSE),0)))</f>
        <v>MONTAGEM E DESMONTAGEM DE FÔRMA DE PILARES RETANGULARES E ESTRUTURAS SIMILARES, PÉ-DIREITO SIMPLES, EM MADEIRA SERRADA, 4 UTILIZAÇÕES. AF_09/2020</v>
      </c>
      <c r="D63" s="631" t="str">
        <f>IFERROR(VLOOKUP(B63,[4]planilhanull!$G$7:$L$6879,3,FALSE),IFERROR(VLOOKUP(B63,[5]JANEIRO_21!$A$9:$E$1593,2,FALSE),IFERROR(VLOOKUP(B63,[6]sheet1!$A$9:$E$5245,3,FALSE),0)))</f>
        <v>M2</v>
      </c>
      <c r="E63" s="636">
        <v>2.7</v>
      </c>
      <c r="F63" s="703" t="str">
        <f>IFERROR(VLOOKUP(B63,[4]planilhanull!$G$7:$L$6879,5,FALSE),IFERROR(VLOOKUP(B63,[5]JANEIRO_21!$A$9:$E$1593,5,FALSE),IFERROR(VLOOKUP(B63,[6]sheet1!$A$9:$E$5245,5,FALSE),0)))</f>
        <v>85,86</v>
      </c>
      <c r="G63" s="488">
        <f t="shared" si="6"/>
        <v>231.82</v>
      </c>
    </row>
    <row r="64" spans="1:7" s="1" customFormat="1" ht="42.75">
      <c r="A64" s="700" t="s">
        <v>49</v>
      </c>
      <c r="B64" s="635">
        <v>92777</v>
      </c>
      <c r="C64" s="702" t="str">
        <f>IFERROR(VLOOKUP(B64,[4]planilhanull!$G$7:$L$6879,2,FALSE),IFERROR(VLOOKUP(B64,[5]JANEIRO_21!$A$9:$E$1593,2,FALSE),IFERROR(VLOOKUP(B64,[6]sheet1!$A$8:$E$5245,2,FALSE),0)))</f>
        <v>ARMAÇÃO DE PILAR OU VIGA DE UMA ESTRUTURA CONVENCIONAL DE CONCRETO ARMADO EM UMA EDIFICAÇÃO TÉRREA OU SOBRADO UTILIZANDO AÇO CA-50 DE 8,0 MM - MONTAGEM. AF_12/2015</v>
      </c>
      <c r="D64" s="631" t="str">
        <f>IFERROR(VLOOKUP(B64,[4]planilhanull!$G$7:$L$6879,3,FALSE),IFERROR(VLOOKUP(B64,[5]JANEIRO_21!$A$9:$E$1593,2,FALSE),IFERROR(VLOOKUP(B64,[6]sheet1!$A$9:$E$5245,3,FALSE),0)))</f>
        <v>KG</v>
      </c>
      <c r="E64" s="636">
        <f>5.12+7.11</f>
        <v>12.23</v>
      </c>
      <c r="F64" s="703" t="str">
        <f>IFERROR(VLOOKUP(B64,[4]planilhanull!$G$7:$L$6879,5,FALSE),IFERROR(VLOOKUP(B64,[5]JANEIRO_21!$A$9:$E$1593,5,FALSE),IFERROR(VLOOKUP(B64,[6]sheet1!$A$9:$E$5245,5,FALSE),0)))</f>
        <v>15,04</v>
      </c>
      <c r="G64" s="488">
        <f t="shared" si="6"/>
        <v>183.93</v>
      </c>
    </row>
    <row r="65" spans="1:7" s="1" customFormat="1" ht="42.75">
      <c r="A65" s="700" t="s">
        <v>49</v>
      </c>
      <c r="B65" s="635">
        <v>92776</v>
      </c>
      <c r="C65" s="702" t="str">
        <f>IFERROR(VLOOKUP(B65,[4]planilhanull!$G$7:$L$6879,2,FALSE),IFERROR(VLOOKUP(B65,[5]JANEIRO_21!$A$9:$E$1593,2,FALSE),IFERROR(VLOOKUP(B65,[6]sheet1!$A$8:$E$5245,2,FALSE),0)))</f>
        <v>ARMAÇÃO DE PILAR OU VIGA DE UMA ESTRUTURA CONVENCIONAL DE CONCRETO ARMADO EM UMA EDIFICAÇÃO TÉRREA OU SOBRADO UTILIZANDO AÇO CA-50 DE 6,3 MM - MONTAGEM. AF_12/2015</v>
      </c>
      <c r="D65" s="631" t="str">
        <f>IFERROR(VLOOKUP(B65,[4]planilhanull!$G$7:$L$6879,3,FALSE),IFERROR(VLOOKUP(B65,[5]JANEIRO_21!$A$9:$E$1593,2,FALSE),IFERROR(VLOOKUP(B65,[6]sheet1!$A$9:$E$5245,3,FALSE),0)))</f>
        <v>KG</v>
      </c>
      <c r="E65" s="636">
        <v>4.66</v>
      </c>
      <c r="F65" s="703" t="str">
        <f>IFERROR(VLOOKUP(B65,[4]planilhanull!$G$7:$L$6879,5,FALSE),IFERROR(VLOOKUP(B65,[5]JANEIRO_21!$A$9:$E$1593,5,FALSE),IFERROR(VLOOKUP(B65,[6]sheet1!$A$9:$E$5245,5,FALSE),0)))</f>
        <v>15,93</v>
      </c>
      <c r="G65" s="488">
        <f t="shared" si="6"/>
        <v>74.23</v>
      </c>
    </row>
    <row r="66" spans="1:7" s="1" customFormat="1" ht="42.75">
      <c r="A66" s="700" t="s">
        <v>49</v>
      </c>
      <c r="B66" s="635">
        <v>94965</v>
      </c>
      <c r="C66" s="702" t="str">
        <f>IFERROR(VLOOKUP(B66,[4]planilhanull!$G$7:$L$6879,2,FALSE),IFERROR(VLOOKUP(B66,[5]JANEIRO_21!$A$9:$E$1593,2,FALSE),IFERROR(VLOOKUP(B66,[6]sheet1!$A$8:$E$5245,2,FALSE),0)))</f>
        <v>CONCRETO FCK = 25MPA, TRAÇO 1:2,3:2,7 (EM MASSA SECA DE CIMENTO/ AREIA MÉDIA/ BRITA 1) - PREPARO MECÂNICO COM BETONEIRA 400 L. AF_05/2021</v>
      </c>
      <c r="D66" s="631" t="str">
        <f>IFERROR(VLOOKUP(B66,[4]planilhanull!$G$7:$L$6879,3,FALSE),IFERROR(VLOOKUP(B66,[5]JANEIRO_21!$A$9:$E$1593,2,FALSE),IFERROR(VLOOKUP(B66,[6]sheet1!$A$9:$E$5245,3,FALSE),0)))</f>
        <v>M3</v>
      </c>
      <c r="E66" s="636">
        <v>0.33</v>
      </c>
      <c r="F66" s="703" t="str">
        <f>IFERROR(VLOOKUP(B66,[4]planilhanull!$G$7:$L$6879,5,FALSE),IFERROR(VLOOKUP(B66,[5]JANEIRO_21!$A$9:$E$1593,5,FALSE),IFERROR(VLOOKUP(B66,[6]sheet1!$A$9:$E$5245,5,FALSE),0)))</f>
        <v>355,34</v>
      </c>
      <c r="G66" s="488">
        <f t="shared" si="6"/>
        <v>117.26</v>
      </c>
    </row>
    <row r="67" spans="1:7" s="1" customFormat="1" ht="28.5">
      <c r="A67" s="700" t="s">
        <v>49</v>
      </c>
      <c r="B67" s="635">
        <v>92873</v>
      </c>
      <c r="C67" s="702" t="str">
        <f>IFERROR(VLOOKUP(B67,[4]planilhanull!$G$7:$L$6879,2,FALSE),IFERROR(VLOOKUP(B67,[5]JANEIRO_21!$A$9:$E$1593,2,FALSE),IFERROR(VLOOKUP(B67,[6]sheet1!$A$8:$E$5245,2,FALSE),0)))</f>
        <v>LANÇAMENTO COM USO DE BALDES, ADENSAMENTO E ACABAMENTO DE CONCRETO EM ESTRUTURAS. AF_12/2015</v>
      </c>
      <c r="D67" s="631" t="str">
        <f>IFERROR(VLOOKUP(B67,[4]planilhanull!$G$7:$L$6879,3,FALSE),IFERROR(VLOOKUP(B67,[5]JANEIRO_21!$A$9:$E$1593,2,FALSE),IFERROR(VLOOKUP(B67,[6]sheet1!$A$9:$E$5245,3,FALSE),0)))</f>
        <v>M3</v>
      </c>
      <c r="E67" s="636">
        <v>0.33</v>
      </c>
      <c r="F67" s="703" t="str">
        <f>IFERROR(VLOOKUP(B67,[4]planilhanull!$G$7:$L$6879,5,FALSE),IFERROR(VLOOKUP(B67,[5]JANEIRO_21!$A$9:$E$1593,5,FALSE),IFERROR(VLOOKUP(B67,[6]sheet1!$A$9:$E$5245,5,FALSE),0)))</f>
        <v>150,65</v>
      </c>
      <c r="G67" s="488">
        <f t="shared" si="6"/>
        <v>49.71</v>
      </c>
    </row>
    <row r="68" spans="1:7" s="1" customFormat="1" ht="57">
      <c r="A68" s="700" t="s">
        <v>49</v>
      </c>
      <c r="B68" s="635">
        <v>87472</v>
      </c>
      <c r="C68" s="702" t="str">
        <f>IFERROR(VLOOKUP(B68,[4]planilhanull!$G$7:$L$6879,2,FALSE),IFERROR(VLOOKUP(B68,[5]JANEIRO_21!$A$9:$E$1593,2,FALSE),IFERROR(VLOOKUP(B68,[6]sheet1!$A$8:$E$5245,2,FALSE),0)))</f>
        <v>ALVENARIA DE VEDAÇÃO DE BLOCOS CERÂMICOS FURADOS NA VERTICAL DE 9X19X39CM (ESPESSURA 9CM) DE PAREDES COM ÁREA LÍQUIDA MENOR QUE 6M² SEM VÃOS E ARGAMASSA DE ASSENTAMENTO COM PREPARO MANUAL. AF_06/2014</v>
      </c>
      <c r="D68" s="631" t="str">
        <f>IFERROR(VLOOKUP(B68,[4]planilhanull!$G$7:$L$6879,3,FALSE),IFERROR(VLOOKUP(B68,[5]JANEIRO_21!$A$9:$E$1593,2,FALSE),IFERROR(VLOOKUP(B68,[6]sheet1!$A$9:$E$5245,3,FALSE),0)))</f>
        <v>M2</v>
      </c>
      <c r="E68" s="636">
        <v>8</v>
      </c>
      <c r="F68" s="703" t="str">
        <f>IFERROR(VLOOKUP(B68,[4]planilhanull!$G$7:$L$6879,5,FALSE),IFERROR(VLOOKUP(B68,[5]JANEIRO_21!$A$9:$E$1593,5,FALSE),IFERROR(VLOOKUP(B68,[6]sheet1!$A$9:$E$5245,5,FALSE),0)))</f>
        <v>57,03</v>
      </c>
      <c r="G68" s="488">
        <f t="shared" ref="G68:G70" si="7">TRUNC(E68*F68,2)</f>
        <v>456.24</v>
      </c>
    </row>
    <row r="69" spans="1:7" s="1" customFormat="1" ht="42.75">
      <c r="A69" s="700" t="s">
        <v>49</v>
      </c>
      <c r="B69" s="635">
        <v>87878</v>
      </c>
      <c r="C69" s="702" t="str">
        <f>IFERROR(VLOOKUP(B69,[4]planilhanull!$G$7:$L$6879,2,FALSE),IFERROR(VLOOKUP(B69,[5]JANEIRO_21!$A$9:$E$1593,2,FALSE),IFERROR(VLOOKUP(B69,[6]sheet1!$A$8:$E$5245,2,FALSE),0)))</f>
        <v>CHAPISCO APLICADO EM ALVENARIAS E ESTRUTURAS DE CONCRETO INTERNAS, COM COLHER DE PEDREIRO.  ARGAMASSA TRAÇO 1:3 COM PREPARO MANUAL. AF_06/2014</v>
      </c>
      <c r="D69" s="631" t="str">
        <f>IFERROR(VLOOKUP(B69,[4]planilhanull!$G$7:$L$6879,3,FALSE),IFERROR(VLOOKUP(B69,[5]JANEIRO_21!$A$9:$E$1593,2,FALSE),IFERROR(VLOOKUP(B69,[6]sheet1!$A$9:$E$5245,3,FALSE),0)))</f>
        <v>M2</v>
      </c>
      <c r="E69" s="636">
        <v>16</v>
      </c>
      <c r="F69" s="703" t="str">
        <f>IFERROR(VLOOKUP(B69,[4]planilhanull!$G$7:$L$6879,5,FALSE),IFERROR(VLOOKUP(B69,[5]JANEIRO_21!$A$9:$E$1593,5,FALSE),IFERROR(VLOOKUP(B69,[6]sheet1!$A$9:$E$5245,5,FALSE),0)))</f>
        <v>3,34</v>
      </c>
      <c r="G69" s="488">
        <f t="shared" si="7"/>
        <v>53.44</v>
      </c>
    </row>
    <row r="70" spans="1:7" s="1" customFormat="1" ht="71.25">
      <c r="A70" s="700" t="s">
        <v>49</v>
      </c>
      <c r="B70" s="635">
        <v>89173</v>
      </c>
      <c r="C70" s="702" t="str">
        <f>IFERROR(VLOOKUP(B70,[4]planilhanull!$G$7:$L$6879,2,FALSE),IFERROR(VLOOKUP(B70,[5]JANEIRO_21!$A$9:$E$1593,2,FALSE),IFERROR(VLOOKUP(B70,[6]sheet1!$A$8:$E$5245,2,FALSE),0)))</f>
        <v>(COMPOSIÇÃO REPRESENTATIVA) DO SERVIÇO DE EMBOÇO/MASSA ÚNICA, APLICADO MANUALMENTE, TRAÇO 1:2:8, EM BETONEIRA DE 400L, PAREDES INTERNAS, COM EXECUÇÃO DE TALISCAS, EDIFICAÇÃO HABITACIONAL UNIFAMILIAR (CASAS) E EDIFICAÇÃO PÚBLICA PADRÃO. AF_12/2014</v>
      </c>
      <c r="D70" s="631" t="str">
        <f>IFERROR(VLOOKUP(B70,[4]planilhanull!$G$7:$L$6879,3,FALSE),IFERROR(VLOOKUP(B70,[5]JANEIRO_21!$A$9:$E$1593,2,FALSE),IFERROR(VLOOKUP(B70,[6]sheet1!$A$9:$E$5245,3,FALSE),0)))</f>
        <v>M2</v>
      </c>
      <c r="E70" s="636">
        <v>16</v>
      </c>
      <c r="F70" s="703" t="str">
        <f>IFERROR(VLOOKUP(B70,[4]planilhanull!$G$7:$L$6879,5,FALSE),IFERROR(VLOOKUP(B70,[5]JANEIRO_21!$A$9:$E$1593,5,FALSE),IFERROR(VLOOKUP(B70,[6]sheet1!$A$9:$E$5245,5,FALSE),0)))</f>
        <v>27,00</v>
      </c>
      <c r="G70" s="488">
        <f t="shared" si="7"/>
        <v>432</v>
      </c>
    </row>
    <row r="71" spans="1:7" s="1" customFormat="1">
      <c r="A71" s="1011" t="s">
        <v>36</v>
      </c>
      <c r="B71" s="1011"/>
      <c r="C71" s="1011"/>
      <c r="D71" s="1011"/>
      <c r="E71" s="1011"/>
      <c r="F71" s="1011"/>
      <c r="G71" s="640">
        <f>SUM(G60:G70)</f>
        <v>2035.91</v>
      </c>
    </row>
    <row r="72" spans="1:7">
      <c r="A72" s="1004" t="s">
        <v>358</v>
      </c>
      <c r="B72" s="1004"/>
      <c r="C72" s="1010" t="s">
        <v>357</v>
      </c>
      <c r="D72" s="1010"/>
      <c r="E72" s="1010"/>
      <c r="F72" s="1010"/>
      <c r="G72" s="253" t="s">
        <v>14</v>
      </c>
    </row>
    <row r="73" spans="1:7">
      <c r="A73" s="568" t="s">
        <v>172</v>
      </c>
      <c r="B73" s="568" t="s">
        <v>159</v>
      </c>
      <c r="C73" s="568" t="s">
        <v>50</v>
      </c>
      <c r="D73" s="487" t="s">
        <v>51</v>
      </c>
      <c r="E73" s="487" t="s">
        <v>52</v>
      </c>
      <c r="F73" s="487" t="s">
        <v>54</v>
      </c>
      <c r="G73" s="639" t="s">
        <v>53</v>
      </c>
    </row>
    <row r="74" spans="1:7">
      <c r="A74" s="700" t="s">
        <v>49</v>
      </c>
      <c r="B74" s="635">
        <v>10848</v>
      </c>
      <c r="C74" s="702" t="str">
        <f>IFERROR(VLOOKUP(B74,[4]planilhanull!$G$7:$L$6879,2,FALSE),IFERROR(VLOOKUP(B74,[5]JANEIRO_21!$A$9:$E$1593,2,FALSE),IFERROR(VLOOKUP(B74,[6]sheet1!$A$8:$E$5245,2,FALSE),0)))</f>
        <v>PLACA DE INAUGURACAO METALICA, *40* CM X *60* CM</v>
      </c>
      <c r="D74" s="631" t="str">
        <f>IFERROR(VLOOKUP(B74,[4]planilhanull!$G$7:$L$6879,3,FALSE),IFERROR(VLOOKUP(B74,[5]JANEIRO_21!$A$9:$E$1593,2,FALSE),IFERROR(VLOOKUP(B74,[6]sheet1!$A$9:$E$5245,3,FALSE),0)))</f>
        <v xml:space="preserve">UN    </v>
      </c>
      <c r="E74" s="636">
        <v>1</v>
      </c>
      <c r="F74" s="703" t="str">
        <f>IFERROR(VLOOKUP(B74,[4]planilhanull!$G$7:$L$6879,5,FALSE),IFERROR(VLOOKUP(B74,[5]JANEIRO_21!$A$9:$E$1593,5,FALSE),IFERROR(VLOOKUP(B74,[6]sheet1!$A$9:$E$5245,5,FALSE),0)))</f>
        <v>678,38</v>
      </c>
      <c r="G74" s="488">
        <f t="shared" ref="G74:G75" si="8">TRUNC(E74*F74,2)</f>
        <v>678.38</v>
      </c>
    </row>
    <row r="75" spans="1:7">
      <c r="A75" s="700" t="s">
        <v>49</v>
      </c>
      <c r="B75" s="635">
        <v>88242</v>
      </c>
      <c r="C75" s="702" t="str">
        <f>IFERROR(VLOOKUP(B75,[4]planilhanull!$G$7:$L$6879,2,FALSE),IFERROR(VLOOKUP(B75,[5]JANEIRO_21!$A$9:$E$1593,2,FALSE),IFERROR(VLOOKUP(B75,[6]sheet1!$A$8:$E$5245,2,FALSE),0)))</f>
        <v>AJUDANTE DE PEDREIRO COM ENCARGOS COMPLEMENTARES</v>
      </c>
      <c r="D75" s="631" t="str">
        <f>IFERROR(VLOOKUP(B75,[4]planilhanull!$G$7:$L$6879,3,FALSE),IFERROR(VLOOKUP(B75,[5]JANEIRO_21!$A$9:$E$1593,2,FALSE),IFERROR(VLOOKUP(B75,[6]sheet1!$A$9:$E$5245,3,FALSE),0)))</f>
        <v>H</v>
      </c>
      <c r="E75" s="636">
        <v>0.2</v>
      </c>
      <c r="F75" s="703" t="str">
        <f>IFERROR(VLOOKUP(B75,[4]planilhanull!$G$7:$L$6879,5,FALSE),IFERROR(VLOOKUP(B75,[5]JANEIRO_21!$A$9:$E$1593,5,FALSE),IFERROR(VLOOKUP(B75,[6]sheet1!$A$9:$E$5245,5,FALSE),0)))</f>
        <v>14,83</v>
      </c>
      <c r="G75" s="488">
        <f t="shared" si="8"/>
        <v>2.96</v>
      </c>
    </row>
    <row r="76" spans="1:7">
      <c r="A76" s="1012" t="s">
        <v>36</v>
      </c>
      <c r="B76" s="1012"/>
      <c r="C76" s="1012"/>
      <c r="D76" s="1012"/>
      <c r="E76" s="1012"/>
      <c r="F76" s="1012"/>
      <c r="G76" s="640">
        <f>SUM(G74:G75)</f>
        <v>681.34</v>
      </c>
    </row>
    <row r="77" spans="1:7">
      <c r="A77" s="1006"/>
      <c r="B77" s="1007"/>
      <c r="C77" s="1007"/>
      <c r="D77" s="1007"/>
      <c r="E77" s="1007"/>
      <c r="F77" s="1007"/>
      <c r="G77" s="1008"/>
    </row>
    <row r="78" spans="1:7">
      <c r="A78" s="255"/>
      <c r="B78" s="110"/>
      <c r="C78" s="483"/>
      <c r="D78" s="110"/>
      <c r="E78" s="110"/>
      <c r="F78" s="110"/>
      <c r="G78" s="254"/>
    </row>
    <row r="79" spans="1:7">
      <c r="A79" s="255">
        <f>PLANILHA!A130</f>
        <v>0</v>
      </c>
      <c r="B79" s="546"/>
      <c r="C79" s="483"/>
      <c r="D79" s="110"/>
      <c r="E79" s="110"/>
      <c r="F79" s="110"/>
      <c r="G79" s="254"/>
    </row>
    <row r="80" spans="1:7">
      <c r="A80" s="255"/>
      <c r="B80" s="20"/>
      <c r="C80" s="483"/>
      <c r="D80" s="110"/>
      <c r="E80" s="110"/>
      <c r="F80" s="110"/>
      <c r="G80" s="254"/>
    </row>
    <row r="81" spans="1:7">
      <c r="A81" s="255"/>
      <c r="B81" s="20"/>
      <c r="C81" s="482"/>
      <c r="D81" s="20"/>
      <c r="E81" s="20"/>
      <c r="F81" s="20"/>
      <c r="G81" s="252"/>
    </row>
    <row r="82" spans="1:7">
      <c r="A82" s="255"/>
      <c r="B82" s="20"/>
      <c r="C82" s="482"/>
      <c r="D82" s="20"/>
      <c r="E82" s="20"/>
      <c r="F82" s="20"/>
      <c r="G82" s="252"/>
    </row>
    <row r="83" spans="1:7">
      <c r="A83" s="255"/>
      <c r="B83" s="20"/>
      <c r="C83" s="482"/>
      <c r="D83" s="20"/>
      <c r="E83" s="20"/>
      <c r="F83" s="20"/>
      <c r="G83" s="252"/>
    </row>
    <row r="84" spans="1:7">
      <c r="A84" s="255"/>
      <c r="B84" s="20"/>
      <c r="C84" s="484"/>
      <c r="D84" s="603"/>
      <c r="E84" s="20"/>
      <c r="F84" s="20"/>
      <c r="G84" s="252"/>
    </row>
    <row r="85" spans="1:7" ht="15.75">
      <c r="A85" s="934" t="s">
        <v>150</v>
      </c>
      <c r="B85" s="935"/>
      <c r="C85" s="935"/>
      <c r="D85" s="935"/>
      <c r="E85" s="935"/>
      <c r="F85" s="935"/>
      <c r="G85" s="936"/>
    </row>
    <row r="86" spans="1:7" ht="15.75">
      <c r="A86" s="940" t="s">
        <v>351</v>
      </c>
      <c r="B86" s="941"/>
      <c r="C86" s="941"/>
      <c r="D86" s="941"/>
      <c r="E86" s="941"/>
      <c r="F86" s="941"/>
      <c r="G86" s="942"/>
    </row>
    <row r="87" spans="1:7" ht="15.75">
      <c r="A87" s="995" t="s">
        <v>350</v>
      </c>
      <c r="B87" s="996"/>
      <c r="C87" s="996"/>
      <c r="D87" s="996"/>
      <c r="E87" s="996"/>
      <c r="F87" s="996"/>
      <c r="G87" s="997"/>
    </row>
    <row r="88" spans="1:7" ht="15.75">
      <c r="A88" s="255"/>
      <c r="B88" s="924"/>
      <c r="C88" s="924"/>
      <c r="D88" s="924"/>
      <c r="E88" s="924"/>
      <c r="F88" s="924"/>
      <c r="G88" s="925"/>
    </row>
    <row r="89" spans="1:7">
      <c r="A89" s="548"/>
      <c r="B89" s="187"/>
      <c r="C89" s="485"/>
      <c r="D89" s="187"/>
      <c r="E89" s="187"/>
      <c r="F89" s="187"/>
      <c r="G89" s="256"/>
    </row>
  </sheetData>
  <mergeCells count="24">
    <mergeCell ref="A72:B72"/>
    <mergeCell ref="C72:F72"/>
    <mergeCell ref="A76:F76"/>
    <mergeCell ref="A6:G6"/>
    <mergeCell ref="A7:B7"/>
    <mergeCell ref="C7:F7"/>
    <mergeCell ref="B16:F16"/>
    <mergeCell ref="C17:F17"/>
    <mergeCell ref="B88:G88"/>
    <mergeCell ref="A17:B17"/>
    <mergeCell ref="A21:F21"/>
    <mergeCell ref="A77:G77"/>
    <mergeCell ref="A34:B34"/>
    <mergeCell ref="C34:F34"/>
    <mergeCell ref="A57:F57"/>
    <mergeCell ref="A22:B22"/>
    <mergeCell ref="C22:F22"/>
    <mergeCell ref="A33:F33"/>
    <mergeCell ref="A58:B58"/>
    <mergeCell ref="C58:F58"/>
    <mergeCell ref="A71:F71"/>
    <mergeCell ref="A86:G86"/>
    <mergeCell ref="A87:G87"/>
    <mergeCell ref="A85:G85"/>
  </mergeCells>
  <phoneticPr fontId="62" type="noConversion"/>
  <printOptions horizontalCentered="1"/>
  <pageMargins left="0.39370078740157483" right="0.39370078740157483" top="0.31496062992125984" bottom="0.31496062992125984" header="0.31496062992125984" footer="0.23622047244094491"/>
  <pageSetup paperSize="9" scale="55" fitToHeight="0" orientation="portrait" r:id="rId1"/>
  <headerFooter>
    <oddFooter>Página &amp;P de &amp;N</oddFooter>
  </headerFooter>
  <colBreaks count="1" manualBreakCount="1">
    <brk id="6" max="1048575"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referencia!$A$14:$A$20</xm:f>
          </x14:formula1>
          <xm:sqref>A9:A15 A19:A21 A36:A56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DADOS</vt:lpstr>
      <vt:lpstr>referencia</vt:lpstr>
      <vt:lpstr>Planilha3</vt:lpstr>
      <vt:lpstr>BDI</vt:lpstr>
      <vt:lpstr>PLANILHA</vt:lpstr>
      <vt:lpstr>PLANILHA RESUMO</vt:lpstr>
      <vt:lpstr>CRONOGRAMA</vt:lpstr>
      <vt:lpstr>MEMÓRIA DE CÁLCULO</vt:lpstr>
      <vt:lpstr>COMPOSIÇÕES</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Gerob</cp:lastModifiedBy>
  <cp:lastPrinted>2021-07-19T12:21:33Z</cp:lastPrinted>
  <dcterms:created xsi:type="dcterms:W3CDTF">2018-06-25T20:10:59Z</dcterms:created>
  <dcterms:modified xsi:type="dcterms:W3CDTF">2021-07-19T14:45:48Z</dcterms:modified>
</cp:coreProperties>
</file>