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lanilha1" sheetId="1" r:id="rId1"/>
    <sheet name="COTAÇÃO" sheetId="2" r:id="rId2"/>
  </sheets>
  <externalReferences>
    <externalReference r:id="rId5"/>
  </externalReferences>
  <definedNames>
    <definedName name="ACOMPANHAMENTO" hidden="1">IF(VALUE('[1]MENU'!$O$4)=2,"BM","PLE")</definedName>
    <definedName name="_xlnm.Print_Area" localSheetId="1">'COTAÇÃO'!$A$1:$I$16</definedName>
    <definedName name="_xlnm.Print_Area" localSheetId="0">'Planilha1'!$O$1:$Y$242</definedName>
    <definedName name="BDI.Opcao" hidden="1">'[1]DADOS'!$F$18</definedName>
    <definedName name="CRONO.NivelExibicao" hidden="1">'[1]CRONO'!$G$10</definedName>
    <definedName name="DESONERACAO" hidden="1">IF(OR(Import.Desoneracao="DESONERADO",Import.Desoneracao="SIM"),"SIM","NÃO")</definedName>
    <definedName name="Excel_BuiltIn_Database" hidden="1">TEXT(Import.DataBase,"mm-aaaa")</definedName>
    <definedName name="Import.Apelido" hidden="1">'[1]DADOS'!$F$16</definedName>
    <definedName name="Import.CR" hidden="1">'[1]DADOS'!$F$7</definedName>
    <definedName name="Import.CTEF" hidden="1">'[1]DADOS'!$F$36</definedName>
    <definedName name="Import.DataBase" hidden="1">OFFSET('[1]DADOS'!$G$19,0,-1)</definedName>
    <definedName name="Import.DescLote" hidden="1">'[1]DADOS'!$F$17</definedName>
    <definedName name="Import.Desoneracao" hidden="1">OFFSET('[1]DADOS'!$G$18,0,-1)</definedName>
    <definedName name="Import.empresa" hidden="1">'[1]DADOS'!$F$37</definedName>
    <definedName name="Import.Município" hidden="1">'[1]DADOS'!$F$6</definedName>
    <definedName name="Import.Proponente" hidden="1">'[1]DADOS'!$F$5</definedName>
    <definedName name="import.recurso" hidden="1">'[1]DADOS'!$F$4</definedName>
    <definedName name="Import.RegimeExecução" hidden="1">OFFSET('[1]DADOS'!$G$39,0,-1)</definedName>
    <definedName name="Import.RespOrçamento" hidden="1">'[1]DADOS'!$F$22:$F$24</definedName>
    <definedName name="Import.SICONV" hidden="1">'[1]DADOS'!$F$8</definedName>
    <definedName name="ORÇAMENTO.BancoRef" hidden="1">'Planilha1'!$F$8</definedName>
    <definedName name="ORÇAMENTO.CodBarra" hidden="1">IF(ORÇAMENTO.Fonte="Sinapi",SUBSTITUTE(SUBSTITUTE(ORÇAMENTO.Codigo,"/00","/"),"/0","/"),ORÇAMENTO.Codigo)</definedName>
    <definedName name="ORÇAMENTO.Codigo" hidden="1">'Planilha1'!$Q1</definedName>
    <definedName name="ORÇAMENTO.CustoUnitario" hidden="1">ROUND('Planilha1'!$U1,15-13*'Planilha1'!$AF$8)</definedName>
    <definedName name="ORÇAMENTO.Descricao" hidden="1">'Planilha1'!$R1</definedName>
    <definedName name="ORÇAMENTO.Fonte" hidden="1">'Planilha1'!$P1</definedName>
    <definedName name="ORÇAMENTO.Nivel" hidden="1">'Planilha1'!$M1</definedName>
    <definedName name="ORÇAMENTO.OpcaoBDI" hidden="1">'Planilha1'!$V1</definedName>
    <definedName name="ORÇAMENTO.PrecoUnitarioLicitado" hidden="1">'Planilha1'!$AL1</definedName>
    <definedName name="ORÇAMENTO.Unidade" hidden="1">'Planilha1'!$S1</definedName>
    <definedName name="REFERENCIA.Descricao" hidden="1">IF(ISNUMBER('Planilha1'!$AF1),OFFSET(INDIRECT(ORÇAMENTO.BancoRef),'Planilha1'!$AF1-1,3,1),'Planilha1'!$AF1)</definedName>
    <definedName name="REFERENCIA.Desonerado" hidden="1">IF(ISNUMBER('Planilha1'!$AF1),VALUE(OFFSET(INDIRECT(ORÇAMENTO.BancoRef),'Planilha1'!$AF1-1,5,1)),0)</definedName>
    <definedName name="REFERENCIA.NaoDesonerado" hidden="1">IF(ISNUMBER('Planilha1'!$AF1),VALUE(OFFSET(INDIRECT(ORÇAMENTO.BancoRef),'Planilha1'!$AF1-1,6,1)),0)</definedName>
    <definedName name="REFERENCIA.Unidade" hidden="1">IF(ISNUMBER('Planilha1'!$AF1),OFFSET(INDIRECT(ORÇAMENTO.BancoRef),'Planilha1'!$AF1-1,4,1),"-")</definedName>
    <definedName name="SomaAgrup" hidden="1">SUMIF(OFFSET('Planilha1'!$C1,1,0,'Planilha1'!$D1),"S",OFFSET('Planilha1'!A1,1,0,'Planilha1'!$D1))</definedName>
    <definedName name="TIPOORCAMENTO" hidden="1">IF(VALUE('[1]MENU'!$O$3)=2,"Licitado","Proposto")</definedName>
    <definedName name="VTOTAL1" hidden="1">ROUND('Planilha1'!$T1*'Planilha1'!$W1,15-13*'Planilha1'!$AF$11)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J7" authorId="0">
      <text>
        <r>
          <rPr>
            <b/>
            <sz val="9"/>
            <color indexed="8"/>
            <rFont val="Tahoma"/>
            <family val="2"/>
          </rPr>
          <t xml:space="preserve">QUANTIDADES:
</t>
        </r>
        <r>
          <rPr>
            <sz val="9"/>
            <color indexed="8"/>
            <rFont val="Tahoma"/>
            <family val="2"/>
          </rPr>
          <t>PREENCHA AS QUANTIDADES AQUI PARA ACOMPANHAMENTOS POR BM.</t>
        </r>
      </text>
    </comment>
    <comment ref="AL7" authorId="0">
      <text>
        <r>
          <rPr>
            <b/>
            <sz val="9"/>
            <color indexed="8"/>
            <rFont val="Tahoma"/>
            <family val="2"/>
          </rPr>
          <t xml:space="preserve">PREÇO UNITÁRIO LICITADO:
</t>
        </r>
        <r>
          <rPr>
            <sz val="9"/>
            <color indexed="8"/>
            <rFont val="Tahoma"/>
            <family val="2"/>
          </rPr>
          <t>PREENCHA AQUI O PREÇO UNITÁRIO DA LICITAÇÃO.</t>
        </r>
      </text>
    </comment>
    <comment ref="L8" authorId="0">
      <text>
        <r>
          <rPr>
            <b/>
            <sz val="9"/>
            <color indexed="8"/>
            <rFont val="Tahoma"/>
            <family val="2"/>
          </rPr>
          <t xml:space="preserve">FILTRO:
</t>
        </r>
        <r>
          <rPr>
            <sz val="9"/>
            <color indexed="8"/>
            <rFont val="Tahoma"/>
            <family val="2"/>
          </rPr>
          <t>Após a conclusão do Orçamento, utilize o filtro nessa coluna com o valor "F" para ocultar linhas não utilizadas.</t>
        </r>
      </text>
    </comment>
    <comment ref="Y8" authorId="0">
      <text>
        <r>
          <rPr>
            <b/>
            <sz val="9"/>
            <color indexed="8"/>
            <rFont val="Tahoma"/>
            <family val="2"/>
          </rPr>
          <t xml:space="preserve">RECURSO:
</t>
        </r>
        <r>
          <rPr>
            <sz val="9"/>
            <color indexed="8"/>
            <rFont val="Tahoma"/>
            <family val="2"/>
          </rPr>
          <t>Selecione a composição do item do Orçamento no Investimento.
RA: Rateio proporcional entre Repasse e Contrapartida.
RP: 100% valor de Repasse.
CP: 100%  valor de Contrapartida.
OU: 100% valor "Outros".</t>
        </r>
      </text>
    </comment>
  </commentList>
</comments>
</file>

<file path=xl/sharedStrings.xml><?xml version="1.0" encoding="utf-8"?>
<sst xmlns="http://schemas.openxmlformats.org/spreadsheetml/2006/main" count="1618" uniqueCount="486">
  <si>
    <t>PO - PLANILHA ORÇAMENTÁRIA</t>
  </si>
  <si>
    <t>Grau de Sigilo</t>
  </si>
  <si>
    <t>LOTE</t>
  </si>
  <si>
    <t>Meta</t>
  </si>
  <si>
    <t>Nível 2</t>
  </si>
  <si>
    <t>Nível 3</t>
  </si>
  <si>
    <t>Nível 4</t>
  </si>
  <si>
    <t>Serviço</t>
  </si>
  <si>
    <t>#PUBLICO</t>
  </si>
  <si>
    <t>Nmax</t>
  </si>
  <si>
    <t>BDI 1</t>
  </si>
  <si>
    <t>BDI 2</t>
  </si>
  <si>
    <t>BDI 3</t>
  </si>
  <si>
    <t>Nº OPERAÇÃO</t>
  </si>
  <si>
    <t>Nº SICONV</t>
  </si>
  <si>
    <t>PROPONENTE / TOMADOR</t>
  </si>
  <si>
    <t>APELIDO DO EMPREENDIMENTO</t>
  </si>
  <si>
    <t>Arredondamento</t>
  </si>
  <si>
    <t>LOCALIDADE SINAPI</t>
  </si>
  <si>
    <t>DATA BASE</t>
  </si>
  <si>
    <t>Quantidade</t>
  </si>
  <si>
    <t>QUANTIDADES: ACOMP. POR BM</t>
  </si>
  <si>
    <t>PREÇO UNITÁRIO LICITADO</t>
  </si>
  <si>
    <t>FILTRO</t>
  </si>
  <si>
    <t>RECURSO</t>
  </si>
  <si>
    <t>SGL RECURSO</t>
  </si>
  <si>
    <t>Custo Unitáro</t>
  </si>
  <si>
    <t>BDI</t>
  </si>
  <si>
    <t>ERRO GERAL</t>
  </si>
  <si>
    <t>Preço Unitário</t>
  </si>
  <si>
    <t>Preço Total</t>
  </si>
  <si>
    <t>Valores não Arredondados</t>
  </si>
  <si>
    <t>↓</t>
  </si>
  <si>
    <t>Nível E</t>
  </si>
  <si>
    <t>Save Nivel</t>
  </si>
  <si>
    <t>Nível C</t>
  </si>
  <si>
    <t>Altura</t>
  </si>
  <si>
    <t>n1</t>
  </si>
  <si>
    <t>n2</t>
  </si>
  <si>
    <t>n3</t>
  </si>
  <si>
    <t>n4</t>
  </si>
  <si>
    <t>n5</t>
  </si>
  <si>
    <t>Czero</t>
  </si>
  <si>
    <t>Cnível</t>
  </si>
  <si>
    <t>Nível</t>
  </si>
  <si>
    <t>Nível Corrigido</t>
  </si>
  <si>
    <t>Item</t>
  </si>
  <si>
    <t>Fonte</t>
  </si>
  <si>
    <t>Código</t>
  </si>
  <si>
    <t>Descrição</t>
  </si>
  <si>
    <t>Unidade</t>
  </si>
  <si>
    <t>Preço Unitário (com BDI) (R$)</t>
  </si>
  <si>
    <t>Preço Total
(R$)</t>
  </si>
  <si>
    <t>Contrapartida (R$)</t>
  </si>
  <si>
    <t>Outros (R$)</t>
  </si>
  <si>
    <t>Erro de Dados</t>
  </si>
  <si>
    <t>Lista Crono</t>
  </si>
  <si>
    <t>Concatenação Fonte-Código</t>
  </si>
  <si>
    <t>BancoDesloc</t>
  </si>
  <si>
    <t>Custo Unitário Referência (R$)</t>
  </si>
  <si>
    <t>Preço Total
Licit. (R$)</t>
  </si>
  <si>
    <t>Preço Unitário Edital (R$)</t>
  </si>
  <si>
    <t>SINAPI</t>
  </si>
  <si>
    <t>RA</t>
  </si>
  <si>
    <t>L</t>
  </si>
  <si>
    <t>F</t>
  </si>
  <si>
    <t>EDIFICAÇÃO  01  - BANHEIRO PRÓXIMO CAIXA D´ÁGUA</t>
  </si>
  <si>
    <t>COBERTURA</t>
  </si>
  <si>
    <t>Composição</t>
  </si>
  <si>
    <t>EDIFICAÇÃO 2 - BEBEDOURO</t>
  </si>
  <si>
    <t>SINAPI-I</t>
  </si>
  <si>
    <t>37400</t>
  </si>
  <si>
    <t>REVISÃO DO TELHADO</t>
  </si>
  <si>
    <t>88316</t>
  </si>
  <si>
    <t>EDIFICAÇÃO 3</t>
  </si>
  <si>
    <t>EDIFICAÇÃO 04</t>
  </si>
  <si>
    <t>EDIFICAÇÃO 05</t>
  </si>
  <si>
    <t>COBERTURA REVISÃO</t>
  </si>
  <si>
    <t>RETIRADA DE PAINÉIS DE COMPENSADO DAS LATERAIS</t>
  </si>
  <si>
    <t>EDIFICAÇÃO 06</t>
  </si>
  <si>
    <t>EDIFICAÇÃO 07</t>
  </si>
  <si>
    <t>COMPOSIÇÃO</t>
  </si>
  <si>
    <t>005</t>
  </si>
  <si>
    <t>93664</t>
  </si>
  <si>
    <t>91872</t>
  </si>
  <si>
    <t>EDIFICAÇÃO 08</t>
  </si>
  <si>
    <t>EDIFICAÇÃO 09</t>
  </si>
  <si>
    <t>EDIFICAÇÃO 11</t>
  </si>
  <si>
    <t>EDIFICAÇÃO 12</t>
  </si>
  <si>
    <t>COBERTURA DEMOLIÇÃO BARRACÃO</t>
  </si>
  <si>
    <t>FABRICAR COBERTURA DO DEPÓSITO 4,60X4,60m (50CM BEIRAL)</t>
  </si>
  <si>
    <t>RETIRADA DOS PILARES DE MADEIRA</t>
  </si>
  <si>
    <t>004</t>
  </si>
  <si>
    <t>EDIFICAÇÃO 13 - SALA IMPRENSA - BANHEIROS</t>
  </si>
  <si>
    <t>FORRO PVC</t>
  </si>
  <si>
    <t>EDIFICAÇÃO 15 - MARCENARIA</t>
  </si>
  <si>
    <t>EDIFICAÇÃO 16</t>
  </si>
  <si>
    <t>EDIFICAÇÃO 17 - BANHEIRO PÚBLICO</t>
  </si>
  <si>
    <t>RETIRADA DE BEIRAL DOS OITÕES</t>
  </si>
  <si>
    <t>001</t>
  </si>
  <si>
    <t>DEMOLIÇÃO DE MICTÓRIO COLETIVO/REBOCO/REVESTIMENTO CERÂMICO</t>
  </si>
  <si>
    <t>INSTALAÇÃO DE MICTÓRIO COLETÍVO EM INOX</t>
  </si>
  <si>
    <t>11698</t>
  </si>
  <si>
    <t>EDIFICAÇÃO 18</t>
  </si>
  <si>
    <t>RETIRADA DO BEIRAL DOS OITÕES</t>
  </si>
  <si>
    <t>EDIFICAÇÃO 19</t>
  </si>
  <si>
    <t>EDIFICAÇÃO 20</t>
  </si>
  <si>
    <t>CUMEEIRA/RUFO</t>
  </si>
  <si>
    <t>EDIFICAÇÃO 21</t>
  </si>
  <si>
    <t>EDIFICAÇÃO 22 BANHEIRO</t>
  </si>
  <si>
    <t>EDIFICAÇÃO 23</t>
  </si>
  <si>
    <t>EDIFICAÇÃO 24 - Y</t>
  </si>
  <si>
    <t>EDIFICAÇÃO 25 - PORTARIA</t>
  </si>
  <si>
    <t>REPAROS HIDRÁULICOS GERAIS NO PARQUE DE EXPOSIÇÃO</t>
  </si>
  <si>
    <t>MÃO DE OBRA EXCLUSIVE MATERIAL</t>
  </si>
  <si>
    <t>INSTALAÇÃO DE ACESSÓRIOS</t>
  </si>
  <si>
    <t>PINTURA</t>
  </si>
  <si>
    <t>Encargos sociais:</t>
  </si>
  <si>
    <t>Para elaboração deste orçamento, foram utilizados os encargos sociais do SINAPI para a Unidade da Federação indicada.</t>
  </si>
  <si>
    <t>Observações:</t>
  </si>
  <si>
    <t>Siglas da Composição do Investimento: RA - Rateio proporcional entre Repasse e Contrapartida; RP - 100% Repasse; CP - 100% Contrapartida; OU - 100% Outros.</t>
  </si>
  <si>
    <t>Local</t>
  </si>
  <si>
    <t>Responsável Técnico</t>
  </si>
  <si>
    <t>Nome:</t>
  </si>
  <si>
    <t>CREA/CAU:</t>
  </si>
  <si>
    <t>Data</t>
  </si>
  <si>
    <t>ART/RRT:</t>
  </si>
  <si>
    <t>REMOÇÃO DE TELHAS, DE FIBROCIMENTO, METÁLICA E CERÂMICA, DE FORMA MANUAL, SEM REAPROVEITAMENTO. AF_12/2017</t>
  </si>
  <si>
    <t>REMOÇÃO DE TRAMA DE MADEIRA PARA COBERTURA, DE FORMA MANUAL, SEM REAPROVEITAMENTO. AF_12/2017</t>
  </si>
  <si>
    <t>REMOÇÃO DE TESOURAS DE MADEIRA, COM VÃO MAIOR OU IGUAL A 8M, DE FORMA MANUAL, SEM REAPROVEITAMENTO. AF_12/2017</t>
  </si>
  <si>
    <t>FABRICAÇÃO E INSTALAÇÃO DE TESOURA INTEIRA EM MADEIRA NÃO APARELHADA, VÃO DE 10 M, PARA TELHA CERÂMICA OU DE CONCRETO, INCLUSO IÇAMENTO. AF_07/2019</t>
  </si>
  <si>
    <t>TRAMA DE MADEIRA COMPOSTA POR RIPAS, CAIBROS E TERÇAS PARA TELHADOS DE ATÉ 2 ÁGUAS PARA TELHA DE ENCAIXE DE CERÂMICA OU DE CONCRETO, INCLUSO TRANSPORTE VERTICAL. AF_07/2019</t>
  </si>
  <si>
    <t>TELHAMENTO COM TELHA CERÂMICA DE ENCAIXE, TIPO PORTUGUESA, COM ATÉ 2 ÁGUAS, INCLUSO TRANSPORTE VERTICAL. AF_07/2019</t>
  </si>
  <si>
    <t>CUMEEIRA PARA TELHA CERÂMICA EMBOÇADA COM ARGAMASSA TRAÇO 1:2:9 (CIMENTO, CAL E AREIA) PARA TELHADOS COM ATÉ 2 ÁGUAS, INCLUSO TRANSPORTE VERTICAL. AF_07/2019</t>
  </si>
  <si>
    <t xml:space="preserve"> 97647 </t>
  </si>
  <si>
    <t xml:space="preserve"> 97650 </t>
  </si>
  <si>
    <t xml:space="preserve"> 97652 </t>
  </si>
  <si>
    <t xml:space="preserve"> 92552 </t>
  </si>
  <si>
    <t xml:space="preserve"> 92539 </t>
  </si>
  <si>
    <t xml:space="preserve"> 94195 </t>
  </si>
  <si>
    <t xml:space="preserve"> 94221 </t>
  </si>
  <si>
    <t>m²</t>
  </si>
  <si>
    <t>UN</t>
  </si>
  <si>
    <t>M</t>
  </si>
  <si>
    <t>06-22 (N DES.)</t>
  </si>
  <si>
    <t xml:space="preserve"> 2.1.1.1 </t>
  </si>
  <si>
    <t xml:space="preserve"> 2.1.1.3 </t>
  </si>
  <si>
    <t>SERVENTE COM ENCARGOS COMPLEMENTARES</t>
  </si>
  <si>
    <t>H</t>
  </si>
  <si>
    <t>QUADRO DE DISTRIBUIÇÃO, SEM BARRAMENTO, EM PVC, DE SOBREPOR, PARA 6 DISJUNTORES NEMA OU 8 DISJUNTORES DIN - FORNECIMENTO E INSTALAÇÃO</t>
  </si>
  <si>
    <t xml:space="preserve"> 92604 </t>
  </si>
  <si>
    <t xml:space="preserve"> 92580 </t>
  </si>
  <si>
    <t xml:space="preserve"> 94207 </t>
  </si>
  <si>
    <t>FABRICAÇÃO E INSTALAÇÃO DE TESOURA INTEIRA EM AÇO, VÃO DE 4 M, PARA TELHA ONDULADA DE FIBROCIMENTO, METÁLICA, PLÁSTICA OU TERMOACÚSTICA, INCLUSO IÇAMENTO. AF_12/2015</t>
  </si>
  <si>
    <t>TRAMA DE AÇO COMPOSTA POR TERÇAS PARA TELHADOS DE ATÉ 2 ÁGUAS PARA TELHA ONDULADA DE FIBROCIMENTO, METÁLICA, PLÁSTICA OU TERMOACÚSTICA, INCLUSO TRANSPORTE VERTICAL. AF_07/2019</t>
  </si>
  <si>
    <t>TELHAMENTO COM TELHA ONDULADA DE FIBROCIMENTO E = 6 MM, COM RECOBRIMENTO LATERAL DE 1/4 DE ONDA PARA TELHADO COM INCLINAÇÃO MAIOR QUE 10°, COM ATÉ 2 ÁGUAS, INCLUSO IÇAMENTO. AF_07/2019</t>
  </si>
  <si>
    <t xml:space="preserve"> 96995 </t>
  </si>
  <si>
    <t xml:space="preserve"> 94990 </t>
  </si>
  <si>
    <t>REATERRO MANUAL APILOADO COM SOQUETE. AF_10/2017</t>
  </si>
  <si>
    <t>m³</t>
  </si>
  <si>
    <t>EXECUÇÃO DE PASSEIO (CALÇADA) OU PISO DE CONCRETO COM CONCRETO MOLDADO IN LOCO, FEITO EM OBRA, ACABAMENTO CONVENCIONAL, NÃO ARMADO. AF_07/2016</t>
  </si>
  <si>
    <t>REMOÇÃO DE PILAR DE MADEIRA ROLIÇO COM REAPROVEITAMENTO</t>
  </si>
  <si>
    <t xml:space="preserve"> 101876 </t>
  </si>
  <si>
    <t xml:space="preserve"> 93665 </t>
  </si>
  <si>
    <t xml:space="preserve"> 93655 </t>
  </si>
  <si>
    <t xml:space="preserve"> 93145 </t>
  </si>
  <si>
    <t xml:space="preserve"> 103782 </t>
  </si>
  <si>
    <t xml:space="preserve"> 93142 </t>
  </si>
  <si>
    <t>QUADRO DE DISTRIBUIÇÃO DE ENERGIA EM PVC, DE EMBUTIR, SEM BARRAMENTO, PARA 6 DISJUNTORES - FORNECIMENTO E INSTALAÇÃO. AF_10/2020</t>
  </si>
  <si>
    <t>DISJUNTOR BIPOLAR TIPO DIN, CORRENTE NOMINAL DE 40A - FORNECIMENTO E INSTALAÇÃO. AF_10/2020</t>
  </si>
  <si>
    <t>DISJUNTOR MONOPOLAR TIPO DIN, CORRENTE NOMINAL DE 20A - FORNECIMENTO E INSTALAÇÃO. AF_10/2020</t>
  </si>
  <si>
    <t>PONTO DE ILUMINAÇÃO E TOMADA, RESIDENCIAL, INCLUINDO INTERRUPTOR SIMPLES E TOMADA 10A/250V, CAIXA ELÉTRICA, ELETRODUTO, CABO, RASGO, QUEBRA E CHUMBAMENTO (EXCLUINDO LUMINÁRIA E LÂMPADA). AF_01/2016</t>
  </si>
  <si>
    <t>LUMINÁRIA TIPO PLAFON CIRCULAR, DE SOBREPOR, COM LED DE 12/13 W - FORNECIMENTO E INSTALAÇÃO. AF_03/2022</t>
  </si>
  <si>
    <t>PONTO DE TOMADA RESIDENCIAL INCLUINDO TOMADA (2 MÓDULOS) 10A/250V, CAIXA ELÉTRICA, ELETRODUTO, CABO, RASGO, QUEBRA E CHUMBAMENTO. AF_01/2016</t>
  </si>
  <si>
    <t xml:space="preserve"> 94210 </t>
  </si>
  <si>
    <t>TELHAMENTO COM TELHA ONDULADA DE FIBROCIMENTO E = 6 MM, COM RECOBRIMENTO LATERAL DE 1 1/4 DE ONDA PARA TELHADO COM INCLINAÇÃO MÁXIMA DE 10°, COM ATÉ 2 ÁGUAS, INCLUSO IÇAMENTO. AF_07/2019</t>
  </si>
  <si>
    <t xml:space="preserve"> 97640 </t>
  </si>
  <si>
    <t xml:space="preserve"> 96486 </t>
  </si>
  <si>
    <t>REMOÇÃO DE FORROS DE DRYWALL, PVC E FIBROMINERAL, DE FORMA MANUAL, SEM REAPROVEITAMENTO. AF_12/2017</t>
  </si>
  <si>
    <t>FORRO DE PVC, LISO, PARA AMBIENTES COMERCIAIS, INCLUSIVE ESTRUTURA DE FIXAÇÃO. AF_05/2017_P</t>
  </si>
  <si>
    <t xml:space="preserve"> 93653 </t>
  </si>
  <si>
    <t xml:space="preserve"> 93662 </t>
  </si>
  <si>
    <t xml:space="preserve"> 93143 </t>
  </si>
  <si>
    <t xml:space="preserve"> 93137 </t>
  </si>
  <si>
    <t>DISJUNTOR MONOPOLAR TIPO DIN, CORRENTE NOMINAL DE 10A - FORNECIMENTO E INSTALAÇÃO. AF_10/2020</t>
  </si>
  <si>
    <t>DISJUNTOR BIPOLAR TIPO DIN, CORRENTE NOMINAL DE 20A - FORNECIMENTO E INSTALAÇÃO. AF_10/2020</t>
  </si>
  <si>
    <t>PONTO DE TOMADA RESIDENCIAL INCLUINDO TOMADA 20A/250V, CAIXA ELÉTRICA, ELETRODUTO, CABO, RASGO, QUEBRA E CHUMBAMENTO. AF_01/2016</t>
  </si>
  <si>
    <t>PONTO DE ILUMINAÇÃO RESIDENCIAL INCLUINDO INTERRUPTOR SIMPLES (2 MÓDULOS), CAIXA ELÉTRICA, ELETRODUTO, CABO, RASGO, QUEBRA E CHUMBAMENTO (EXCLUINDO LUMINÁRIA E LÂMPADA). AF_01/2016</t>
  </si>
  <si>
    <t>QUADRO DE DISTRIBUICAO, SEM BARRAMENTO, EM PVC, DE SOBREPOR, PARA 6 DISJUNTORES NEMA OU 8 DISJUNTORES DIN - FORNECIMENTO E INSTALAÇÃO</t>
  </si>
  <si>
    <t xml:space="preserve"> 94451 </t>
  </si>
  <si>
    <t>CUMEEIRA PARA TELHA DE FIBROCIMENTO ESTRUTURAL E = 6 MM, INCLUSO ACESSÓRIOS DE FIXAÇÃO E IÇAMENTO. AF_07/2019</t>
  </si>
  <si>
    <t xml:space="preserve"> 92553 </t>
  </si>
  <si>
    <t xml:space="preserve"> 92544 </t>
  </si>
  <si>
    <t>FABRICAÇÃO E INSTALAÇÃO DE TESOURA INTEIRA EM MADEIRA NÃO APARELHADA, VÃO DE 11 M, PARA TELHA CERÂMICA OU DE CONCRETO, INCLUSO IÇAMENTO. AF_07/2019</t>
  </si>
  <si>
    <t>TRAMA DE MADEIRA COMPOSTA POR TERÇAS PARA TELHADOS DE ATÉ 2 ÁGUAS PARA TELHA ESTRUTURAL DE FIBROCIMENTO, INCLUSO TRANSPORTE VERTICAL. AF_07/2019</t>
  </si>
  <si>
    <t xml:space="preserve"> 93128 </t>
  </si>
  <si>
    <t xml:space="preserve"> 93141 </t>
  </si>
  <si>
    <t>PONTO DE ILUMINAÇÃO RESIDENCIAL INCLUINDO INTERRUPTOR SIMPLES, CAIXA ELÉTRICA, ELETRODUTO, CABO, RASGO, QUEBRA E CHUMBAMENTO (EXCLUINDO LUMINÁRIA E LÂMPADA). AF_01/2016</t>
  </si>
  <si>
    <t>PONTO DE TOMADA RESIDENCIAL INCLUINDO TOMADA 10A/250V, CAIXA ELÉTRICA, ELETRODUTO, CABO, RASGO, QUEBRA E CHUMBAMENTO. AF_01/2016</t>
  </si>
  <si>
    <t>FIXAÇÃO DE ACESSÓRIO NO BANHEIRO (PAPELEIRA/TOALHEIRO)</t>
  </si>
  <si>
    <t xml:space="preserve"> 94231 </t>
  </si>
  <si>
    <t>RUFO EM CHAPA DE AÇO GALVANIZADO NÚMERO 24, CORTE DE 25 CM, INCLUSO TRANSPORTE VERTICAL. AF_07/2019</t>
  </si>
  <si>
    <t xml:space="preserve"> 97622 </t>
  </si>
  <si>
    <t xml:space="preserve"> 87794 </t>
  </si>
  <si>
    <t xml:space="preserve"> 87267 </t>
  </si>
  <si>
    <t xml:space="preserve"> 103322 </t>
  </si>
  <si>
    <t>DEMOLIÇÃO DE ALVENARIA DE BLOCO FURADO, DE FORMA MANUAL, SEM REAPROVEITAMENTO. AF_12/2017</t>
  </si>
  <si>
    <t>EMBOÇO OU MASSA ÚNICA EM ARGAMASSA TRAÇO 1:2:8, PREPARO MANUAL, APLICADA MANUALMENTE EM PANOS CEGOS DE FACHADA (SEM PRESENÇA DE VÃOS), ESPESSURA DE 25 MM. AF_06/2014</t>
  </si>
  <si>
    <t>REVESTIMENTO CERÂMICO PARA PAREDES INTERNAS COM PLACAS TIPO ESMALTADA EXTRA DE DIMENSÕES 20X20 CM APLICADAS EM AMBIENTES DE ÁREA MAIOR QUE 5 M² A MEIA ALTURA DAS PAREDES. AF_06/2014</t>
  </si>
  <si>
    <t>ALVENARIA DE VEDAÇÃO DE BLOCOS CERÂMICOS FURADOS NA VERTICAL DE 9X19X39 CM (ESPESSURA 9 CM) E ARGAMASSA DE ASSENTAMENTO COM PREPARO EM BETONEIRA. AF_12/2021</t>
  </si>
  <si>
    <t>MICTORIO COLETIVO ACO INOX (AISI 304), E = 0,8 MM, DE *100 X 50 X 35* CM (C X A X P)</t>
  </si>
  <si>
    <t xml:space="preserve"> 88267 </t>
  </si>
  <si>
    <t xml:space="preserve"> 88248 </t>
  </si>
  <si>
    <t>ENCANADOR OU BOMBEIRO HIDRÁULICO COM ENCARGOS COMPLEMENTARES</t>
  </si>
  <si>
    <t>AUXILIAR DE ENCANADOR OU BOMBEIRO HIDRÁULICO COM ENCARGOS COMPLEMENTARES</t>
  </si>
  <si>
    <t xml:space="preserve"> 00037412 </t>
  </si>
  <si>
    <t xml:space="preserve"> 00010432 </t>
  </si>
  <si>
    <t xml:space="preserve"> 00010420 </t>
  </si>
  <si>
    <t xml:space="preserve"> 00000377 </t>
  </si>
  <si>
    <t xml:space="preserve"> 00037400 </t>
  </si>
  <si>
    <t xml:space="preserve"> 00037401 </t>
  </si>
  <si>
    <t xml:space="preserve"> 95547 </t>
  </si>
  <si>
    <t>BANCADA/BANCA/PIA DE ACO INOXIDAVEL (AISI 430) COM 1 CUBA CENTRAL, COM VALVULA, LISA (SEM ESCORREDOR), DE *0,55 X 1,20* M</t>
  </si>
  <si>
    <t>MICTORIO INDICUDUAL, SIFONADO, LOUCA BRANCA, SEM COMPLEMENTOS</t>
  </si>
  <si>
    <t>BACIA SANITARIA (VASO) CONVENCIONAL, DE LOUCA BRANCA, SIFAO APARENTE, SAIDA VERTICAL (SEM ASSENTO)</t>
  </si>
  <si>
    <t>ASSENTO SANITARIO DE PLASTICO, TIPO CONVENCIONAL</t>
  </si>
  <si>
    <t>PAPELEIRA PLASTICA TIPO DISPENSER PARA PAPEL HIGIENICO ROLAO</t>
  </si>
  <si>
    <t>TOALHEIRO PLASTICO TIPO DISPENSER PARA PAPEL TOALHA INTERFOLHADO</t>
  </si>
  <si>
    <t>SABONETEIRA PLASTICA TIPO DISPENSER PARA SABONETE LIQUIDO COM RESERVATORIO 800 A 1500 ML, INCLUSO FIXAÇÃO. AF_01/2020</t>
  </si>
  <si>
    <t>APLICAÇÃO DE FUNDO SELADOR ACRÍLICO EM PAREDES, UMA DEMÃO. AF_06/2014</t>
  </si>
  <si>
    <t>APLICAÇÃO MANUAL DE PINTURA COM TINTA LÁTEX ACRÍLICA EM PAREDES, DUAS DEMÃOS. AF_06/2014</t>
  </si>
  <si>
    <t>PINTURA DE PISO COM TINTA ACRÍLICA, APLICAÇÃO MANUAL, 2 DEMÃOS, INCLUSO FUNDO PREPARADOR. AF_05/2021</t>
  </si>
  <si>
    <t>PINTURA COM TINTA ALQUÍDICA DE ACABAMENTO (ESMALTE SINTÉTICO ACETINADO) PULVERIZADA SOBRE SUPERFÍCIES METÁLICAS (EXCETO PERFIL) EXECUTADO EM OBRA (POR DEMÃO). AF_01/2020_P</t>
  </si>
  <si>
    <t>APLICAÇÃO E LIXAMENTO DE MASSA LÁTEX EM PAREDES, DUAS DEMÃOS. AF_06/2014</t>
  </si>
  <si>
    <t>APLICAÇÃO MANUAL DE MASSA ACRÍLICA EM PAREDES EXTERNAS DE CASAS, UMA DEMÃO. AF_05/2017</t>
  </si>
  <si>
    <t>PINTURA VERNIZ (INCOLOR) ALQUÍDICO EM MADEIRA, USO INTERNO, 1 DEMÃO. AF_01/2021</t>
  </si>
  <si>
    <t>PINTURA DE MEIO-FIO COM TINTA BRANCA A BASE DE CAL (CAIAÇÃO). AF_05/2021</t>
  </si>
  <si>
    <t xml:space="preserve"> 88485 </t>
  </si>
  <si>
    <t xml:space="preserve"> 88489 </t>
  </si>
  <si>
    <t xml:space="preserve"> 102491 </t>
  </si>
  <si>
    <t xml:space="preserve"> 100741 </t>
  </si>
  <si>
    <t xml:space="preserve"> 88497 </t>
  </si>
  <si>
    <t xml:space="preserve"> 96130 </t>
  </si>
  <si>
    <t xml:space="preserve"> 102204 </t>
  </si>
  <si>
    <t xml:space="preserve"> 102498 </t>
  </si>
  <si>
    <t xml:space="preserve"> 96973 </t>
  </si>
  <si>
    <t xml:space="preserve"> 91871 </t>
  </si>
  <si>
    <t>CORDOALHA DE COBRE NU 35 MM², NÃO ENTERRADA, COM ISOLADOR - FORNECIMENTO E INSTALAÇÃO. AF_12/2017</t>
  </si>
  <si>
    <t>ELETRODUTO RÍGIDO ROSCÁVEL, PVC, DN 25 MM (3/4"), PARA CIRCUITOS TERMINAIS, INSTALADO EM PAREDE - FORNECIMENTO E INSTALAÇÃO. AF_12/2015</t>
  </si>
  <si>
    <t>1.</t>
  </si>
  <si>
    <t>1.1.</t>
  </si>
  <si>
    <t>1.1.0.1.</t>
  </si>
  <si>
    <t>2.</t>
  </si>
  <si>
    <t>2.1.</t>
  </si>
  <si>
    <t>2.1.1.</t>
  </si>
  <si>
    <t>3.</t>
  </si>
  <si>
    <t>3.1.</t>
  </si>
  <si>
    <t>3.1.0.1.</t>
  </si>
  <si>
    <t>3.1.0.2.</t>
  </si>
  <si>
    <t>4.</t>
  </si>
  <si>
    <t>4.1.</t>
  </si>
  <si>
    <t>4.1.0.1.</t>
  </si>
  <si>
    <t>4.1.0.2.</t>
  </si>
  <si>
    <t>4.1.0.3.</t>
  </si>
  <si>
    <t>4.1.0.4.</t>
  </si>
  <si>
    <t>4.1.0.5.</t>
  </si>
  <si>
    <t>5.</t>
  </si>
  <si>
    <t>5.1.</t>
  </si>
  <si>
    <t>5.1.0.1.</t>
  </si>
  <si>
    <t>5.1.0.2.</t>
  </si>
  <si>
    <t>5.2.</t>
  </si>
  <si>
    <t>5.2.0.1.</t>
  </si>
  <si>
    <t>6.</t>
  </si>
  <si>
    <t>6.1.</t>
  </si>
  <si>
    <t>7.</t>
  </si>
  <si>
    <t>7.1.</t>
  </si>
  <si>
    <t>7.1.0.1.</t>
  </si>
  <si>
    <t>7.1.0.2.</t>
  </si>
  <si>
    <t>7.2.</t>
  </si>
  <si>
    <t>ELÉTRICO</t>
  </si>
  <si>
    <t>7.2.0.1.</t>
  </si>
  <si>
    <t>7.2.0.2.</t>
  </si>
  <si>
    <t>DISJUNTOR BIPOLAR TIPO DIN, CORRENTE NOMINAL DE 32A - FORNECIMENTO E INSTALAÇÃO. AF_10/2020</t>
  </si>
  <si>
    <t>7.2.0.3.</t>
  </si>
  <si>
    <t>ELETRODUTO RÍGIDO ROSCÁVEL, PVC, DN 32 MM (1"), PARA CIRCUITOS TERMINAIS, INSTALADO EM PAREDE - FORNECIMENTO E INSTALAÇÃO. AF_12/2015</t>
  </si>
  <si>
    <t>8.</t>
  </si>
  <si>
    <t>8.1.</t>
  </si>
  <si>
    <t>8.1.0.1.</t>
  </si>
  <si>
    <t>8.1.0.2.</t>
  </si>
  <si>
    <t>9.</t>
  </si>
  <si>
    <t>9.1.</t>
  </si>
  <si>
    <t>9.1.0.1.</t>
  </si>
  <si>
    <t>9.1.0.2.</t>
  </si>
  <si>
    <t>10.</t>
  </si>
  <si>
    <t>10.1.</t>
  </si>
  <si>
    <t>10.1.0.1.</t>
  </si>
  <si>
    <t>10.1.0.2.</t>
  </si>
  <si>
    <t>11.</t>
  </si>
  <si>
    <t>11.1.</t>
  </si>
  <si>
    <t>11.1.0.1.</t>
  </si>
  <si>
    <t>11.1.0.2.</t>
  </si>
  <si>
    <t>11.2.</t>
  </si>
  <si>
    <t>11.2.0.1.</t>
  </si>
  <si>
    <t>11.2.0.2.</t>
  </si>
  <si>
    <t>11.2.0.3.</t>
  </si>
  <si>
    <t>11.3.</t>
  </si>
  <si>
    <t>11.3.0.1.</t>
  </si>
  <si>
    <t>11.3.0.2.</t>
  </si>
  <si>
    <t>11.3.0.3.</t>
  </si>
  <si>
    <t>11.4.</t>
  </si>
  <si>
    <t>11.4.0.1.</t>
  </si>
  <si>
    <t>11.4.0.2.</t>
  </si>
  <si>
    <t>11.4.0.3.</t>
  </si>
  <si>
    <t>11.4.0.4.</t>
  </si>
  <si>
    <t>11.4.0.5.</t>
  </si>
  <si>
    <t>11.4.0.6.</t>
  </si>
  <si>
    <t>12.</t>
  </si>
  <si>
    <t>12.1.</t>
  </si>
  <si>
    <t>12.1.0.1.</t>
  </si>
  <si>
    <t>12.1.0.2.</t>
  </si>
  <si>
    <t>12.1.0.3.</t>
  </si>
  <si>
    <t>12.2.</t>
  </si>
  <si>
    <t>12.2.0.1.</t>
  </si>
  <si>
    <t>12.2.0.2.</t>
  </si>
  <si>
    <t>12.3.</t>
  </si>
  <si>
    <t>12.3.0.1.</t>
  </si>
  <si>
    <t>12.3.0.2.</t>
  </si>
  <si>
    <t>12.3.0.3.</t>
  </si>
  <si>
    <t>12.3.0.4.</t>
  </si>
  <si>
    <t>12.3.0.5.</t>
  </si>
  <si>
    <t>12.3.0.6.</t>
  </si>
  <si>
    <t>12.3.0.7.</t>
  </si>
  <si>
    <t>12.3.0.8.</t>
  </si>
  <si>
    <t>12.3.0.9.</t>
  </si>
  <si>
    <t>12.3.0.10.</t>
  </si>
  <si>
    <t>13.</t>
  </si>
  <si>
    <t>13.1.</t>
  </si>
  <si>
    <t>13.1.0.1.</t>
  </si>
  <si>
    <t>13.1.0.2.</t>
  </si>
  <si>
    <t>13.1.0.3.</t>
  </si>
  <si>
    <t>14.</t>
  </si>
  <si>
    <t>14.1.</t>
  </si>
  <si>
    <t>14.1.0.1.</t>
  </si>
  <si>
    <t>14.1.0.2.</t>
  </si>
  <si>
    <t>14.1.0.3.</t>
  </si>
  <si>
    <t>14.1.0.4.</t>
  </si>
  <si>
    <t>14.1.0.5.</t>
  </si>
  <si>
    <t>14.1.0.6.</t>
  </si>
  <si>
    <t>14.2.</t>
  </si>
  <si>
    <t>ELÉTRICA</t>
  </si>
  <si>
    <t>14.2.0.1.</t>
  </si>
  <si>
    <t>14.2.0.2.</t>
  </si>
  <si>
    <t>14.2.0.3.</t>
  </si>
  <si>
    <t>14.2.0.4.</t>
  </si>
  <si>
    <t>14.2.0.5.</t>
  </si>
  <si>
    <t>14.2.0.6.</t>
  </si>
  <si>
    <t>14.2.0.7.</t>
  </si>
  <si>
    <t>14.2.0.8.</t>
  </si>
  <si>
    <t>14.2.0.9.</t>
  </si>
  <si>
    <t>15.</t>
  </si>
  <si>
    <t>15.1.</t>
  </si>
  <si>
    <t>15.1.1.</t>
  </si>
  <si>
    <t>15.1.1.1.</t>
  </si>
  <si>
    <t>15.1.1.2.</t>
  </si>
  <si>
    <t>15.1.1.3.</t>
  </si>
  <si>
    <t>15.1.1.4.</t>
  </si>
  <si>
    <t>15.2.</t>
  </si>
  <si>
    <t>15.2.0.1.</t>
  </si>
  <si>
    <t>15.2.0.2.</t>
  </si>
  <si>
    <t>15.2.0.3.</t>
  </si>
  <si>
    <t>15.2.0.4.</t>
  </si>
  <si>
    <t>15.3.</t>
  </si>
  <si>
    <t>15.3.0.1.</t>
  </si>
  <si>
    <t>16.</t>
  </si>
  <si>
    <t>16.1.</t>
  </si>
  <si>
    <t>16.1.1.</t>
  </si>
  <si>
    <t>16.1.1.1.</t>
  </si>
  <si>
    <t>16.1.1.2.</t>
  </si>
  <si>
    <t>16.1.1.3.</t>
  </si>
  <si>
    <t>16.1.1.4.</t>
  </si>
  <si>
    <t>16.1.1.5.</t>
  </si>
  <si>
    <t>17.</t>
  </si>
  <si>
    <t>17.1.</t>
  </si>
  <si>
    <t>17.1.1.</t>
  </si>
  <si>
    <t>17.1.1.1.</t>
  </si>
  <si>
    <t>17.1.1.2.</t>
  </si>
  <si>
    <t>17.1.1.3.</t>
  </si>
  <si>
    <t>17.1.1.4.</t>
  </si>
  <si>
    <t>17.1.1.5.</t>
  </si>
  <si>
    <t>18.</t>
  </si>
  <si>
    <t>18.1.</t>
  </si>
  <si>
    <t>18.1.1.</t>
  </si>
  <si>
    <t>18.1.1.1.</t>
  </si>
  <si>
    <t>18.1.2.</t>
  </si>
  <si>
    <t>18.1.2.1.</t>
  </si>
  <si>
    <t>18.1.2.2.</t>
  </si>
  <si>
    <t>19.</t>
  </si>
  <si>
    <t>19.1.</t>
  </si>
  <si>
    <t>19.1.1.</t>
  </si>
  <si>
    <t>19.1.1.1.</t>
  </si>
  <si>
    <t>19.1.1.2.</t>
  </si>
  <si>
    <t>20.</t>
  </si>
  <si>
    <t>20.1.</t>
  </si>
  <si>
    <t>20.1.1.</t>
  </si>
  <si>
    <t>20.1.1.1.</t>
  </si>
  <si>
    <t>20.1.1.2.</t>
  </si>
  <si>
    <t>21.</t>
  </si>
  <si>
    <t>21.1.</t>
  </si>
  <si>
    <t>21.1.1.</t>
  </si>
  <si>
    <t>21.1.1.1.</t>
  </si>
  <si>
    <t>21.1.1.2.</t>
  </si>
  <si>
    <t>22.</t>
  </si>
  <si>
    <t>22.1.</t>
  </si>
  <si>
    <t>22.1.1.</t>
  </si>
  <si>
    <t>22.1.1.1.</t>
  </si>
  <si>
    <t>22.1.1.2.</t>
  </si>
  <si>
    <t>23.</t>
  </si>
  <si>
    <t>23.1.</t>
  </si>
  <si>
    <t>23.1.0.1.</t>
  </si>
  <si>
    <t>23.1.0.2.</t>
  </si>
  <si>
    <t>24.</t>
  </si>
  <si>
    <t>24.1.</t>
  </si>
  <si>
    <t>24.1.0.1.</t>
  </si>
  <si>
    <t>24.1.0.2.</t>
  </si>
  <si>
    <t>24.2.</t>
  </si>
  <si>
    <t>24.2.0.1.</t>
  </si>
  <si>
    <t>24.2.0.2.</t>
  </si>
  <si>
    <t>24.2.0.3.</t>
  </si>
  <si>
    <t>24.2.0.4.</t>
  </si>
  <si>
    <t>24.2.0.5.</t>
  </si>
  <si>
    <t>24.2.0.6.</t>
  </si>
  <si>
    <t>24.2.0.7.</t>
  </si>
  <si>
    <t>24.2.0.8.</t>
  </si>
  <si>
    <t>25.</t>
  </si>
  <si>
    <t>25.1.</t>
  </si>
  <si>
    <t>25.1.0.1.</t>
  </si>
  <si>
    <t>25.1.0.2.</t>
  </si>
  <si>
    <t>25.1.0.3.</t>
  </si>
  <si>
    <t>25.1.0.4.</t>
  </si>
  <si>
    <t>25.1.0.5.</t>
  </si>
  <si>
    <t>25.1.0.6.</t>
  </si>
  <si>
    <t>25.1.0.7.</t>
  </si>
  <si>
    <t>25.1.0.8.</t>
  </si>
  <si>
    <t>26.</t>
  </si>
  <si>
    <t>SISTEMA DE PROTEÇÃO CONTRA DESCARGAS ATMOSFÉRICAS</t>
  </si>
  <si>
    <t>26.1.</t>
  </si>
  <si>
    <t>CAIXA D´ÁGUA + DESCIDA POSTE DE ILUMINAÇÃO ARENA</t>
  </si>
  <si>
    <t>26.1.0.1.</t>
  </si>
  <si>
    <t>26.1.0.2.</t>
  </si>
  <si>
    <t>MÃO DE OBRA INCLUSIVE MATERIAL</t>
  </si>
  <si>
    <t>SERVIÇOS PRELIMINARES</t>
  </si>
  <si>
    <t>4813</t>
  </si>
  <si>
    <t>PLACA DE OBRA (PARA CONSTRUCAO CIVIL) EM CHAPA GALVANIZADA *N. 22*, ADESIVADA, DE *2,4 X 1,2* M (SEM POSTES PARA FIXACAO)</t>
  </si>
  <si>
    <t>1.2.</t>
  </si>
  <si>
    <t>1.2.0.1.</t>
  </si>
  <si>
    <t>1.2.0.2.</t>
  </si>
  <si>
    <t>1.2.0.3.</t>
  </si>
  <si>
    <t>1.2.0.4.</t>
  </si>
  <si>
    <t>1.2.0.5.</t>
  </si>
  <si>
    <t>1.2.0.6.</t>
  </si>
  <si>
    <t>1.2.0.7.</t>
  </si>
  <si>
    <t>DISC CAÇAMBA</t>
  </si>
  <si>
    <t>67-3461-7360</t>
  </si>
  <si>
    <t>DISC ENTULHO</t>
  </si>
  <si>
    <t>E001</t>
  </si>
  <si>
    <t>E002</t>
  </si>
  <si>
    <t>FONTE</t>
  </si>
  <si>
    <t>CÓDIGO</t>
  </si>
  <si>
    <t>DESCRIÇÃO</t>
  </si>
  <si>
    <t>UNIDADE</t>
  </si>
  <si>
    <t>MEDIANA</t>
  </si>
  <si>
    <t>ÍNDICE RETROAÇÃO</t>
  </si>
  <si>
    <t>COTAÇÃO 003</t>
  </si>
  <si>
    <t>COTAÇÃO</t>
  </si>
  <si>
    <t>EMPRESA</t>
  </si>
  <si>
    <t>NOME DA EMPRESA</t>
  </si>
  <si>
    <t>COTAÇÕES</t>
  </si>
  <si>
    <t>DATA COTAÇÃO</t>
  </si>
  <si>
    <t/>
  </si>
  <si>
    <t>OBSERVAÇÕES:</t>
  </si>
  <si>
    <t>ALUGUEL DE CAÇAMBA DE 4,00 M3, PARA ENTULHOS DE CONSTRUÇÃO.</t>
  </si>
  <si>
    <t>DISCk JULEE</t>
  </si>
  <si>
    <t>67-3461-6777</t>
  </si>
  <si>
    <t>08/08/2022</t>
  </si>
  <si>
    <t>FLAVIO ROBERTO VENDAS TANUS</t>
  </si>
  <si>
    <t>9432/D-MS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</si>
</sst>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\-yy;@"/>
    <numFmt numFmtId="165" formatCode="_(* #,##0.00_);_(* \(#,##0.00\);_(* \-??_);_(@_)"/>
    <numFmt numFmtId="166" formatCode="General;General"/>
    <numFmt numFmtId="167" formatCode="[$-F800]dddd\,\ mmmm\ dd\,\ yyyy"/>
    <numFmt numFmtId="168" formatCode="_(\ #,##0.00_);_(\ \(#,##0.00\);_(\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name val="Calibri"/>
      <family val="2"/>
    </font>
    <font>
      <b/>
      <sz val="11"/>
      <color indexed="10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b/>
      <sz val="8"/>
      <color indexed="10"/>
      <name val="Calibri"/>
      <family val="2"/>
    </font>
    <font>
      <b/>
      <sz val="7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8"/>
      <name val="Calibri"/>
      <family val="2"/>
    </font>
    <font>
      <b/>
      <sz val="8"/>
      <color indexed="2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lightUp">
        <fgColor indexed="22"/>
      </patternFill>
    </fill>
    <fill>
      <patternFill patternType="lightUp"/>
    </fill>
    <fill>
      <patternFill patternType="lightUp">
        <b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thin">
        <color indexed="8"/>
      </right>
      <top style="hair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/>
      <bottom style="thin">
        <color indexed="8"/>
      </bottom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/>
      <right style="thin"/>
      <top/>
      <bottom/>
    </border>
    <border>
      <left style="thin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59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1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left" vertical="center"/>
    </xf>
    <xf numFmtId="0" fontId="6" fillId="0" borderId="11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wrapText="1"/>
    </xf>
    <xf numFmtId="10" fontId="0" fillId="0" borderId="0" xfId="0" applyNumberFormat="1" applyFont="1" applyAlignment="1">
      <alignment/>
    </xf>
    <xf numFmtId="0" fontId="6" fillId="0" borderId="10" xfId="52" applyFont="1" applyBorder="1" applyAlignment="1" applyProtection="1">
      <alignment vertical="top"/>
      <protection/>
    </xf>
    <xf numFmtId="0" fontId="6" fillId="0" borderId="0" xfId="52" applyFont="1" applyBorder="1" applyAlignment="1" applyProtection="1">
      <alignment horizontal="left" vertical="top"/>
      <protection/>
    </xf>
    <xf numFmtId="0" fontId="0" fillId="0" borderId="0" xfId="0" applyFont="1" applyAlignment="1">
      <alignment horizontal="center"/>
    </xf>
    <xf numFmtId="10" fontId="0" fillId="0" borderId="0" xfId="0" applyNumberFormat="1" applyBorder="1" applyAlignment="1">
      <alignment/>
    </xf>
    <xf numFmtId="10" fontId="0" fillId="0" borderId="0" xfId="0" applyNumberFormat="1" applyAlignment="1">
      <alignment/>
    </xf>
    <xf numFmtId="0" fontId="0" fillId="0" borderId="11" xfId="48" applyFont="1" applyFill="1" applyBorder="1" applyAlignment="1" applyProtection="1">
      <alignment vertical="top" wrapText="1"/>
      <protection/>
    </xf>
    <xf numFmtId="0" fontId="0" fillId="0" borderId="12" xfId="48" applyFont="1" applyFill="1" applyBorder="1" applyAlignment="1" applyProtection="1">
      <alignment vertical="top" wrapText="1"/>
      <protection/>
    </xf>
    <xf numFmtId="0" fontId="0" fillId="0" borderId="0" xfId="48" applyFont="1" applyFill="1" applyBorder="1" applyAlignment="1" applyProtection="1">
      <alignment horizontal="left" vertical="top" wrapText="1"/>
      <protection/>
    </xf>
    <xf numFmtId="0" fontId="0" fillId="0" borderId="13" xfId="48" applyFont="1" applyFill="1" applyBorder="1" applyAlignment="1" applyProtection="1">
      <alignment horizontal="left" vertical="top" wrapText="1"/>
      <protection/>
    </xf>
    <xf numFmtId="0" fontId="0" fillId="0" borderId="13" xfId="48" applyFont="1" applyFill="1" applyBorder="1" applyAlignment="1" applyProtection="1">
      <alignment vertical="top" wrapText="1"/>
      <protection/>
    </xf>
    <xf numFmtId="0" fontId="9" fillId="0" borderId="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 applyProtection="1">
      <alignment/>
      <protection locked="0"/>
    </xf>
    <xf numFmtId="0" fontId="6" fillId="0" borderId="0" xfId="52" applyFont="1" applyBorder="1" applyAlignment="1" applyProtection="1">
      <alignment horizontal="center" vertical="top"/>
      <protection/>
    </xf>
    <xf numFmtId="0" fontId="6" fillId="0" borderId="10" xfId="52" applyFont="1" applyBorder="1" applyAlignment="1" applyProtection="1">
      <alignment horizontal="center" vertical="top"/>
      <protection/>
    </xf>
    <xf numFmtId="0" fontId="0" fillId="0" borderId="0" xfId="0" applyFont="1" applyFill="1" applyAlignment="1" applyProtection="1">
      <alignment/>
      <protection/>
    </xf>
    <xf numFmtId="0" fontId="0" fillId="0" borderId="14" xfId="0" applyNumberFormat="1" applyFont="1" applyBorder="1" applyAlignment="1" applyProtection="1">
      <alignment/>
      <protection locked="0"/>
    </xf>
    <xf numFmtId="164" fontId="0" fillId="0" borderId="11" xfId="48" applyNumberFormat="1" applyFont="1" applyFill="1" applyBorder="1" applyAlignment="1" applyProtection="1">
      <alignment vertical="top" shrinkToFit="1"/>
      <protection/>
    </xf>
    <xf numFmtId="0" fontId="0" fillId="0" borderId="15" xfId="48" applyFont="1" applyFill="1" applyBorder="1" applyAlignment="1" applyProtection="1">
      <alignment horizontal="center" vertical="top" wrapText="1"/>
      <protection/>
    </xf>
    <xf numFmtId="0" fontId="0" fillId="0" borderId="11" xfId="48" applyFont="1" applyFill="1" applyBorder="1" applyAlignment="1" applyProtection="1">
      <alignment horizontal="center" vertical="top" wrapText="1"/>
      <protection/>
    </xf>
    <xf numFmtId="10" fontId="0" fillId="0" borderId="0" xfId="0" applyNumberFormat="1" applyFont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3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1" fontId="14" fillId="0" borderId="0" xfId="0" applyNumberFormat="1" applyFont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0" fontId="6" fillId="0" borderId="14" xfId="0" applyFont="1" applyBorder="1" applyAlignment="1" applyProtection="1">
      <alignment horizontal="center" vertical="center" wrapText="1"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12" fillId="0" borderId="20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/>
    </xf>
    <xf numFmtId="0" fontId="8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>
      <alignment vertical="center" wrapText="1" shrinkToFit="1"/>
    </xf>
    <xf numFmtId="49" fontId="0" fillId="33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23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23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23" xfId="65" applyNumberFormat="1" applyFont="1" applyFill="1" applyBorder="1" applyAlignment="1" applyProtection="1">
      <alignment vertical="center" shrinkToFit="1"/>
      <protection/>
    </xf>
    <xf numFmtId="43" fontId="0" fillId="34" borderId="23" xfId="65" applyFont="1" applyFill="1" applyBorder="1" applyAlignment="1" applyProtection="1">
      <alignment vertical="center" wrapText="1"/>
      <protection locked="0"/>
    </xf>
    <xf numFmtId="10" fontId="0" fillId="33" borderId="23" xfId="54" applyNumberFormat="1" applyFont="1" applyFill="1" applyBorder="1" applyAlignment="1" applyProtection="1">
      <alignment horizontal="center" vertical="center" wrapText="1"/>
      <protection locked="0"/>
    </xf>
    <xf numFmtId="165" fontId="0" fillId="0" borderId="24" xfId="65" applyNumberFormat="1" applyFont="1" applyFill="1" applyBorder="1" applyAlignment="1" applyProtection="1">
      <alignment horizontal="center" vertical="center" shrinkToFit="1"/>
      <protection/>
    </xf>
    <xf numFmtId="10" fontId="10" fillId="33" borderId="25" xfId="54" applyNumberFormat="1" applyFont="1" applyFill="1" applyBorder="1" applyAlignment="1" applyProtection="1">
      <alignment horizontal="center" vertical="center"/>
      <protection locked="0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Alignment="1">
      <alignment horizontal="left"/>
    </xf>
    <xf numFmtId="165" fontId="0" fillId="0" borderId="22" xfId="65" applyNumberFormat="1" applyFont="1" applyFill="1" applyBorder="1" applyAlignment="1" applyProtection="1">
      <alignment vertical="center" shrinkToFit="1"/>
      <protection/>
    </xf>
    <xf numFmtId="10" fontId="0" fillId="0" borderId="24" xfId="65" applyNumberFormat="1" applyFont="1" applyFill="1" applyBorder="1" applyAlignment="1" applyProtection="1">
      <alignment vertical="center" shrinkToFit="1"/>
      <protection/>
    </xf>
    <xf numFmtId="43" fontId="0" fillId="34" borderId="25" xfId="65" applyFont="1" applyFill="1" applyBorder="1" applyAlignment="1" applyProtection="1">
      <alignment vertical="center" wrapText="1"/>
      <protection locked="0"/>
    </xf>
    <xf numFmtId="43" fontId="0" fillId="34" borderId="22" xfId="65" applyFont="1" applyFill="1" applyBorder="1" applyAlignment="1" applyProtection="1">
      <alignment vertical="center" wrapText="1"/>
      <protection locked="0"/>
    </xf>
    <xf numFmtId="165" fontId="0" fillId="0" borderId="23" xfId="65" applyNumberFormat="1" applyFont="1" applyFill="1" applyBorder="1" applyAlignment="1" applyProtection="1">
      <alignment horizontal="center" vertical="center" shrinkToFit="1"/>
      <protection/>
    </xf>
    <xf numFmtId="165" fontId="0" fillId="0" borderId="24" xfId="65" applyNumberFormat="1" applyFont="1" applyFill="1" applyBorder="1" applyAlignment="1" applyProtection="1">
      <alignment vertical="center" shrinkToFit="1"/>
      <protection/>
    </xf>
    <xf numFmtId="0" fontId="6" fillId="35" borderId="14" xfId="0" applyNumberFormat="1" applyFont="1" applyFill="1" applyBorder="1" applyAlignment="1" applyProtection="1">
      <alignment horizontal="center" vertical="center"/>
      <protection/>
    </xf>
    <xf numFmtId="49" fontId="6" fillId="35" borderId="28" xfId="0" applyNumberFormat="1" applyFont="1" applyFill="1" applyBorder="1" applyAlignment="1" applyProtection="1">
      <alignment horizontal="center" vertical="center"/>
      <protection/>
    </xf>
    <xf numFmtId="165" fontId="6" fillId="35" borderId="28" xfId="65" applyNumberFormat="1" applyFont="1" applyFill="1" applyBorder="1" applyAlignment="1" applyProtection="1">
      <alignment horizontal="center" vertical="center"/>
      <protection/>
    </xf>
    <xf numFmtId="10" fontId="6" fillId="35" borderId="28" xfId="54" applyNumberFormat="1" applyFont="1" applyFill="1" applyBorder="1" applyAlignment="1" applyProtection="1">
      <alignment horizontal="center" vertical="center"/>
      <protection/>
    </xf>
    <xf numFmtId="165" fontId="6" fillId="35" borderId="29" xfId="65" applyNumberFormat="1" applyFont="1" applyFill="1" applyBorder="1" applyAlignment="1" applyProtection="1">
      <alignment horizontal="center" vertical="center" shrinkToFit="1"/>
      <protection/>
    </xf>
    <xf numFmtId="165" fontId="17" fillId="35" borderId="14" xfId="65" applyNumberFormat="1" applyFont="1" applyFill="1" applyBorder="1" applyAlignment="1" applyProtection="1">
      <alignment horizontal="center" vertical="center" shrinkToFit="1"/>
      <protection/>
    </xf>
    <xf numFmtId="165" fontId="17" fillId="35" borderId="29" xfId="65" applyNumberFormat="1" applyFont="1" applyFill="1" applyBorder="1" applyAlignment="1" applyProtection="1">
      <alignment horizontal="center" vertical="center" shrinkToFit="1"/>
      <protection/>
    </xf>
    <xf numFmtId="0" fontId="9" fillId="0" borderId="0" xfId="0" applyFont="1" applyAlignment="1">
      <alignment/>
    </xf>
    <xf numFmtId="165" fontId="6" fillId="35" borderId="30" xfId="65" applyNumberFormat="1" applyFont="1" applyFill="1" applyBorder="1" applyAlignment="1" applyProtection="1">
      <alignment horizontal="center" vertical="center"/>
      <protection/>
    </xf>
    <xf numFmtId="10" fontId="6" fillId="35" borderId="31" xfId="65" applyNumberFormat="1" applyFont="1" applyFill="1" applyBorder="1" applyAlignment="1" applyProtection="1">
      <alignment horizontal="center" vertical="center"/>
      <protection/>
    </xf>
    <xf numFmtId="10" fontId="6" fillId="35" borderId="11" xfId="65" applyNumberFormat="1" applyFont="1" applyFill="1" applyBorder="1" applyAlignment="1" applyProtection="1">
      <alignment horizontal="center" vertical="center"/>
      <protection/>
    </xf>
    <xf numFmtId="10" fontId="6" fillId="35" borderId="30" xfId="65" applyNumberFormat="1" applyFont="1" applyFill="1" applyBorder="1" applyAlignment="1" applyProtection="1">
      <alignment horizontal="center" vertical="center"/>
      <protection/>
    </xf>
    <xf numFmtId="165" fontId="6" fillId="35" borderId="32" xfId="65" applyNumberFormat="1" applyFont="1" applyFill="1" applyBorder="1" applyAlignment="1" applyProtection="1">
      <alignment horizontal="center" vertical="center" shrinkToFit="1"/>
      <protection/>
    </xf>
    <xf numFmtId="165" fontId="6" fillId="35" borderId="31" xfId="65" applyNumberFormat="1" applyFont="1" applyFill="1" applyBorder="1" applyAlignment="1" applyProtection="1">
      <alignment horizontal="center" vertical="center"/>
      <protection/>
    </xf>
    <xf numFmtId="0" fontId="0" fillId="36" borderId="33" xfId="0" applyFont="1" applyFill="1" applyBorder="1" applyAlignment="1">
      <alignment/>
    </xf>
    <xf numFmtId="0" fontId="0" fillId="36" borderId="29" xfId="0" applyFont="1" applyFill="1" applyBorder="1" applyAlignment="1" applyProtection="1">
      <alignment/>
      <protection/>
    </xf>
    <xf numFmtId="0" fontId="0" fillId="36" borderId="28" xfId="0" applyFont="1" applyFill="1" applyBorder="1" applyAlignment="1">
      <alignment/>
    </xf>
    <xf numFmtId="0" fontId="0" fillId="36" borderId="29" xfId="0" applyFont="1" applyFill="1" applyBorder="1" applyAlignment="1">
      <alignment/>
    </xf>
    <xf numFmtId="0" fontId="0" fillId="37" borderId="33" xfId="0" applyFont="1" applyFill="1" applyBorder="1" applyAlignment="1">
      <alignment/>
    </xf>
    <xf numFmtId="0" fontId="0" fillId="37" borderId="29" xfId="0" applyFont="1" applyFill="1" applyBorder="1" applyAlignment="1">
      <alignment/>
    </xf>
    <xf numFmtId="0" fontId="0" fillId="38" borderId="14" xfId="0" applyFont="1" applyFill="1" applyBorder="1" applyAlignment="1">
      <alignment/>
    </xf>
    <xf numFmtId="0" fontId="0" fillId="37" borderId="28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34" xfId="0" applyFont="1" applyBorder="1" applyAlignment="1" applyProtection="1">
      <alignment horizontal="left" vertical="center"/>
      <protection/>
    </xf>
    <xf numFmtId="0" fontId="0" fillId="0" borderId="35" xfId="0" applyFont="1" applyBorder="1" applyAlignment="1">
      <alignment/>
    </xf>
    <xf numFmtId="0" fontId="18" fillId="0" borderId="0" xfId="0" applyFont="1" applyFill="1" applyBorder="1" applyAlignment="1" applyProtection="1">
      <alignment horizontal="left" wrapText="1"/>
      <protection/>
    </xf>
    <xf numFmtId="0" fontId="18" fillId="0" borderId="0" xfId="0" applyFont="1" applyFill="1" applyBorder="1" applyAlignment="1" applyProtection="1">
      <alignment horizontal="left" wrapText="1"/>
      <protection locked="0"/>
    </xf>
    <xf numFmtId="0" fontId="19" fillId="0" borderId="0" xfId="0" applyFont="1" applyFill="1" applyBorder="1" applyAlignment="1" applyProtection="1">
      <alignment horizontal="left" wrapText="1"/>
      <protection/>
    </xf>
    <xf numFmtId="0" fontId="19" fillId="0" borderId="36" xfId="48" applyFont="1" applyBorder="1" applyAlignment="1" applyProtection="1">
      <alignment vertical="center"/>
      <protection/>
    </xf>
    <xf numFmtId="0" fontId="0" fillId="0" borderId="36" xfId="0" applyBorder="1" applyAlignment="1">
      <alignment/>
    </xf>
    <xf numFmtId="0" fontId="6" fillId="0" borderId="0" xfId="0" applyFont="1" applyAlignment="1">
      <alignment/>
    </xf>
    <xf numFmtId="0" fontId="0" fillId="0" borderId="0" xfId="48" applyFont="1" applyBorder="1" applyAlignment="1" applyProtection="1">
      <alignment vertical="center"/>
      <protection/>
    </xf>
    <xf numFmtId="0" fontId="0" fillId="0" borderId="0" xfId="48" applyNumberFormat="1" applyFont="1" applyFill="1" applyBorder="1" applyAlignment="1" applyProtection="1">
      <alignment vertical="top"/>
      <protection/>
    </xf>
    <xf numFmtId="0" fontId="0" fillId="0" borderId="0" xfId="0" applyFill="1" applyAlignment="1">
      <alignment/>
    </xf>
    <xf numFmtId="166" fontId="0" fillId="0" borderId="0" xfId="48" applyNumberFormat="1" applyFont="1" applyFill="1" applyBorder="1" applyAlignment="1" applyProtection="1">
      <alignment/>
      <protection/>
    </xf>
    <xf numFmtId="0" fontId="6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4" fillId="0" borderId="37" xfId="48" applyFont="1" applyBorder="1" applyAlignment="1">
      <alignment horizontal="center"/>
      <protection/>
    </xf>
    <xf numFmtId="49" fontId="14" fillId="39" borderId="37" xfId="48" applyNumberFormat="1" applyFont="1" applyFill="1" applyBorder="1" applyProtection="1">
      <alignment/>
      <protection locked="0"/>
    </xf>
    <xf numFmtId="0" fontId="2" fillId="0" borderId="0" xfId="48">
      <alignment/>
      <protection/>
    </xf>
    <xf numFmtId="0" fontId="22" fillId="0" borderId="37" xfId="48" applyFont="1" applyBorder="1" applyAlignment="1">
      <alignment horizontal="center"/>
      <protection/>
    </xf>
    <xf numFmtId="0" fontId="22" fillId="0" borderId="37" xfId="48" applyFont="1" applyBorder="1">
      <alignment/>
      <protection/>
    </xf>
    <xf numFmtId="0" fontId="23" fillId="40" borderId="38" xfId="48" applyFont="1" applyFill="1" applyBorder="1" applyAlignment="1">
      <alignment vertical="center"/>
      <protection/>
    </xf>
    <xf numFmtId="49" fontId="22" fillId="39" borderId="37" xfId="48" applyNumberFormat="1" applyFont="1" applyFill="1" applyBorder="1" applyAlignment="1" applyProtection="1">
      <alignment horizontal="center" wrapText="1"/>
      <protection locked="0"/>
    </xf>
    <xf numFmtId="0" fontId="14" fillId="0" borderId="39" xfId="48" applyFont="1" applyBorder="1" applyAlignment="1">
      <alignment horizontal="center"/>
      <protection/>
    </xf>
    <xf numFmtId="49" fontId="14" fillId="39" borderId="40" xfId="48" applyNumberFormat="1" applyFont="1" applyFill="1" applyBorder="1" applyAlignment="1" applyProtection="1">
      <alignment horizontal="center" wrapText="1"/>
      <protection locked="0"/>
    </xf>
    <xf numFmtId="0" fontId="22" fillId="0" borderId="40" xfId="48" applyFont="1" applyBorder="1">
      <alignment/>
      <protection/>
    </xf>
    <xf numFmtId="0" fontId="6" fillId="0" borderId="41" xfId="52" applyFont="1" applyBorder="1" applyAlignment="1" applyProtection="1">
      <alignment vertical="top"/>
      <protection/>
    </xf>
    <xf numFmtId="49" fontId="22" fillId="41" borderId="37" xfId="48" applyNumberFormat="1" applyFont="1" applyFill="1" applyBorder="1" applyAlignment="1" applyProtection="1">
      <alignment wrapText="1"/>
      <protection locked="0"/>
    </xf>
    <xf numFmtId="0" fontId="6" fillId="0" borderId="41" xfId="52" applyFont="1" applyBorder="1" applyAlignment="1" applyProtection="1">
      <alignment horizontal="left" vertical="top"/>
      <protection/>
    </xf>
    <xf numFmtId="0" fontId="0" fillId="0" borderId="11" xfId="48" applyFont="1" applyFill="1" applyBorder="1" applyAlignment="1" applyProtection="1">
      <alignment horizontal="left" vertical="top" wrapText="1"/>
      <protection/>
    </xf>
    <xf numFmtId="0" fontId="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 textRotation="90" wrapText="1"/>
    </xf>
    <xf numFmtId="0" fontId="11" fillId="0" borderId="0" xfId="0" applyFont="1" applyBorder="1" applyAlignment="1">
      <alignment horizontal="center" textRotation="90" wrapText="1"/>
    </xf>
    <xf numFmtId="0" fontId="0" fillId="42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center" textRotation="90"/>
    </xf>
    <xf numFmtId="0" fontId="0" fillId="0" borderId="42" xfId="48" applyFont="1" applyFill="1" applyBorder="1" applyAlignment="1" applyProtection="1">
      <alignment horizontal="left" vertical="top" wrapText="1"/>
      <protection/>
    </xf>
    <xf numFmtId="0" fontId="6" fillId="0" borderId="35" xfId="0" applyFont="1" applyBorder="1" applyAlignment="1">
      <alignment horizontal="center"/>
    </xf>
    <xf numFmtId="0" fontId="6" fillId="0" borderId="10" xfId="52" applyFont="1" applyBorder="1" applyAlignment="1" applyProtection="1">
      <alignment horizontal="left" vertical="top"/>
      <protection/>
    </xf>
    <xf numFmtId="0" fontId="6" fillId="0" borderId="34" xfId="52" applyFont="1" applyBorder="1" applyAlignment="1" applyProtection="1">
      <alignment horizontal="left" vertical="top"/>
      <protection/>
    </xf>
    <xf numFmtId="167" fontId="0" fillId="0" borderId="0" xfId="0" applyNumberFormat="1" applyFont="1" applyBorder="1" applyAlignment="1" applyProtection="1">
      <alignment horizontal="left"/>
      <protection/>
    </xf>
    <xf numFmtId="0" fontId="6" fillId="35" borderId="33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Font="1" applyBorder="1" applyAlignment="1" applyProtection="1">
      <alignment horizontal="left" vertical="center"/>
      <protection locked="0"/>
    </xf>
    <xf numFmtId="0" fontId="18" fillId="34" borderId="11" xfId="0" applyFont="1" applyFill="1" applyBorder="1" applyAlignment="1" applyProtection="1">
      <alignment horizontal="left" vertical="top" wrapText="1"/>
      <protection locked="0"/>
    </xf>
    <xf numFmtId="0" fontId="19" fillId="0" borderId="14" xfId="0" applyFont="1" applyFill="1" applyBorder="1" applyAlignment="1" applyProtection="1">
      <alignment horizontal="left" wrapText="1"/>
      <protection/>
    </xf>
    <xf numFmtId="0" fontId="0" fillId="0" borderId="14" xfId="0" applyFont="1" applyFill="1" applyBorder="1" applyAlignment="1" applyProtection="1">
      <alignment horizontal="left" wrapText="1"/>
      <protection/>
    </xf>
    <xf numFmtId="166" fontId="0" fillId="0" borderId="15" xfId="0" applyNumberFormat="1" applyFont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49" fontId="14" fillId="39" borderId="40" xfId="48" applyNumberFormat="1" applyFont="1" applyFill="1" applyBorder="1" applyAlignment="1" applyProtection="1">
      <alignment horizontal="left" wrapText="1"/>
      <protection locked="0"/>
    </xf>
    <xf numFmtId="0" fontId="14" fillId="0" borderId="43" xfId="48" applyFont="1" applyBorder="1">
      <alignment/>
      <protection/>
    </xf>
    <xf numFmtId="0" fontId="14" fillId="0" borderId="44" xfId="48" applyFont="1" applyBorder="1">
      <alignment/>
      <protection/>
    </xf>
    <xf numFmtId="0" fontId="14" fillId="0" borderId="39" xfId="48" applyFont="1" applyBorder="1" applyAlignment="1">
      <alignment horizontal="center"/>
      <protection/>
    </xf>
    <xf numFmtId="0" fontId="14" fillId="0" borderId="45" xfId="48" applyFont="1" applyBorder="1" applyAlignment="1">
      <alignment horizontal="left" wrapText="1"/>
      <protection/>
    </xf>
    <xf numFmtId="0" fontId="14" fillId="0" borderId="46" xfId="48" applyFont="1" applyBorder="1" applyAlignment="1">
      <alignment horizontal="left" wrapText="1"/>
      <protection/>
    </xf>
    <xf numFmtId="168" fontId="14" fillId="39" borderId="40" xfId="66" applyNumberFormat="1" applyFont="1" applyFill="1" applyBorder="1" applyAlignment="1" applyProtection="1">
      <alignment horizontal="center" wrapText="1"/>
      <protection locked="0"/>
    </xf>
    <xf numFmtId="49" fontId="14" fillId="41" borderId="40" xfId="48" applyNumberFormat="1" applyFont="1" applyFill="1" applyBorder="1" applyAlignment="1" applyProtection="1">
      <alignment horizontal="center" wrapText="1"/>
      <protection locked="0"/>
    </xf>
    <xf numFmtId="0" fontId="22" fillId="0" borderId="37" xfId="48" applyFont="1" applyBorder="1" applyAlignment="1">
      <alignment horizontal="center"/>
      <protection/>
    </xf>
    <xf numFmtId="168" fontId="22" fillId="0" borderId="37" xfId="66" applyNumberFormat="1" applyFont="1" applyBorder="1" applyAlignment="1">
      <alignment horizontal="center"/>
    </xf>
    <xf numFmtId="49" fontId="22" fillId="39" borderId="37" xfId="48" applyNumberFormat="1" applyFont="1" applyFill="1" applyBorder="1" applyAlignment="1" applyProtection="1">
      <alignment horizontal="center"/>
      <protection locked="0"/>
    </xf>
    <xf numFmtId="49" fontId="14" fillId="39" borderId="37" xfId="48" applyNumberFormat="1" applyFont="1" applyFill="1" applyBorder="1" applyAlignment="1" applyProtection="1">
      <alignment wrapText="1"/>
      <protection locked="0"/>
    </xf>
    <xf numFmtId="49" fontId="14" fillId="39" borderId="37" xfId="48" applyNumberFormat="1" applyFont="1" applyFill="1" applyBorder="1" applyProtection="1">
      <alignment/>
      <protection locked="0"/>
    </xf>
    <xf numFmtId="49" fontId="14" fillId="0" borderId="47" xfId="48" applyNumberFormat="1" applyFont="1" applyFill="1" applyBorder="1" applyProtection="1">
      <alignment/>
      <protection locked="0"/>
    </xf>
    <xf numFmtId="49" fontId="14" fillId="0" borderId="48" xfId="48" applyNumberFormat="1" applyFont="1" applyFill="1" applyBorder="1" applyProtection="1">
      <alignment/>
      <protection locked="0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2" xfId="49"/>
    <cellStyle name="Normal 2 3" xfId="50"/>
    <cellStyle name="Normal 3" xfId="51"/>
    <cellStyle name="Normal_FICHA DE VERIFICAÇÃO PRELIMINAR - Plano R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dxfs count="1028"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border>
        <top style="thin"/>
      </border>
    </dxf>
    <dxf>
      <border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color indexed="10"/>
      </font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rgb="FFFFFFFF"/>
      </font>
      <fill>
        <patternFill patternType="solid">
          <fgColor rgb="FF993300"/>
          <bgColor rgb="FFFF0000"/>
        </patternFill>
      </fill>
      <border/>
    </dxf>
    <dxf>
      <font>
        <b/>
        <i val="0"/>
      </font>
      <fill>
        <patternFill patternType="solid">
          <fgColor rgb="FFCC99FF"/>
          <bgColor rgb="FF969696"/>
        </patternFill>
      </fill>
      <border>
        <left>
          <color rgb="FF000000"/>
        </left>
        <right>
          <color rgb="FF000000"/>
        </right>
        <top style="thin"/>
        <bottom>
          <color rgb="FF000000"/>
        </bottom>
      </border>
    </dxf>
    <dxf>
      <font>
        <b/>
        <i val="0"/>
      </font>
      <fill>
        <patternFill patternType="solid">
          <fgColor rgb="FF99CCFF"/>
          <bgColor rgb="FFC0C0C0"/>
        </patternFill>
      </fill>
      <border/>
    </dxf>
    <dxf>
      <font>
        <b val="0"/>
        <color rgb="FF969696"/>
      </font>
      <fill>
        <patternFill patternType="solid">
          <fgColor rgb="FFCC99FF"/>
          <bgColor rgb="FF969696"/>
        </patternFill>
      </fill>
      <border>
        <left>
          <color rgb="FF000000"/>
        </left>
        <right>
          <color rgb="FF000000"/>
        </right>
        <top style="thin"/>
        <bottom>
          <color rgb="FF000000"/>
        </bottom>
      </border>
    </dxf>
    <dxf>
      <font>
        <b val="0"/>
        <color rgb="FFC0C0C0"/>
      </font>
      <fill>
        <patternFill patternType="solid">
          <fgColor rgb="FF99CCFF"/>
          <bgColor rgb="FFC0C0C0"/>
        </patternFill>
      </fill>
      <border/>
    </dxf>
    <dxf>
      <font>
        <b val="0"/>
        <color rgb="FFFFFFFF"/>
      </font>
      <fill>
        <patternFill patternType="none">
          <fgColor indexed="64"/>
          <bgColor indexed="65"/>
        </patternFill>
      </fill>
      <border/>
    </dxf>
    <dxf>
      <font>
        <b val="0"/>
        <color rgb="FF969696"/>
      </font>
      <fill>
        <patternFill patternType="solid">
          <fgColor rgb="FFCC99FF"/>
          <bgColor rgb="FF969696"/>
        </patternFill>
      </fill>
      <border>
        <top style="thin">
          <color rgb="FF000000"/>
        </top>
      </border>
    </dxf>
    <dxf>
      <font>
        <b val="0"/>
        <color rgb="FFFFFFFF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/>
        <bottom>
          <color rgb="FF000000"/>
        </bottom>
      </border>
    </dxf>
    <dxf>
      <font>
        <b/>
        <i val="0"/>
        <color rgb="FFFF0000"/>
      </font>
      <border/>
    </dxf>
    <dxf>
      <border>
        <top style="thin">
          <color rgb="FF000000"/>
        </top>
      </border>
    </dxf>
    <dxf>
      <font>
        <b/>
        <i val="0"/>
      </font>
      <fill>
        <patternFill patternType="solid">
          <fgColor rgb="FFCC99FF"/>
          <bgColor rgb="FF969696"/>
        </patternFill>
      </fill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Menu!E6" /><Relationship Id="rId2" Type="http://schemas.openxmlformats.org/officeDocument/2006/relationships/hyperlink" Target="#BDI!Q11" /><Relationship Id="rId3" Type="http://schemas.openxmlformats.org/officeDocument/2006/relationships/hyperlink" Target="#C&#193;LCULO!D13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714375</xdr:colOff>
      <xdr:row>8</xdr:row>
      <xdr:rowOff>152400</xdr:rowOff>
    </xdr:from>
    <xdr:to>
      <xdr:col>23</xdr:col>
      <xdr:colOff>1028700</xdr:colOff>
      <xdr:row>11</xdr:row>
      <xdr:rowOff>28575</xdr:rowOff>
    </xdr:to>
    <xdr:sp fLocksText="0">
      <xdr:nvSpPr>
        <xdr:cNvPr id="1" name="TextBoxArred"/>
        <xdr:cNvSpPr txBox="1">
          <a:spLocks noChangeArrowheads="1"/>
        </xdr:cNvSpPr>
      </xdr:nvSpPr>
      <xdr:spPr>
        <a:xfrm flipH="1">
          <a:off x="9448800" y="1495425"/>
          <a:ext cx="4686300" cy="4191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Considerar valores arredondados com (0,00)</a:t>
          </a:r>
        </a:p>
      </xdr:txBody>
    </xdr:sp>
    <xdr:clientData fPrintsWithSheet="0"/>
  </xdr:twoCellAnchor>
  <xdr:twoCellAnchor>
    <xdr:from>
      <xdr:col>12</xdr:col>
      <xdr:colOff>295275</xdr:colOff>
      <xdr:row>0</xdr:row>
      <xdr:rowOff>152400</xdr:rowOff>
    </xdr:from>
    <xdr:to>
      <xdr:col>13</xdr:col>
      <xdr:colOff>285750</xdr:colOff>
      <xdr:row>2</xdr:row>
      <xdr:rowOff>38100</xdr:rowOff>
    </xdr:to>
    <xdr:sp>
      <xdr:nvSpPr>
        <xdr:cNvPr id="2" name="AutoShape 67">
          <a:hlinkClick r:id="rId1"/>
        </xdr:cNvPr>
        <xdr:cNvSpPr>
          <a:spLocks/>
        </xdr:cNvSpPr>
      </xdr:nvSpPr>
      <xdr:spPr>
        <a:xfrm>
          <a:off x="542925" y="152400"/>
          <a:ext cx="571500" cy="304800"/>
        </a:xfrm>
        <a:prstGeom prst="roundRect">
          <a:avLst/>
        </a:prstGeom>
        <a:solidFill>
          <a:srgbClr val="99CCFF"/>
        </a:solidFill>
        <a:ln w="936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360" tIns="27360" rIns="27360" bIns="2736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MENU</a:t>
          </a:r>
        </a:p>
      </xdr:txBody>
    </xdr:sp>
    <xdr:clientData/>
  </xdr:twoCellAnchor>
  <xdr:twoCellAnchor>
    <xdr:from>
      <xdr:col>14</xdr:col>
      <xdr:colOff>28575</xdr:colOff>
      <xdr:row>9</xdr:row>
      <xdr:rowOff>0</xdr:rowOff>
    </xdr:from>
    <xdr:to>
      <xdr:col>15</xdr:col>
      <xdr:colOff>609600</xdr:colOff>
      <xdr:row>10</xdr:row>
      <xdr:rowOff>152400</xdr:rowOff>
    </xdr:to>
    <xdr:sp macro="[1]!Linhas.AddLinha">
      <xdr:nvSpPr>
        <xdr:cNvPr id="3" name="AutoShape 67"/>
        <xdr:cNvSpPr>
          <a:spLocks/>
        </xdr:cNvSpPr>
      </xdr:nvSpPr>
      <xdr:spPr>
        <a:xfrm>
          <a:off x="1438275" y="1504950"/>
          <a:ext cx="1428750" cy="342900"/>
        </a:xfrm>
        <a:prstGeom prst="roundRect">
          <a:avLst/>
        </a:prstGeom>
        <a:solidFill>
          <a:srgbClr val="FFCC99"/>
        </a:solidFill>
        <a:ln w="936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360" tIns="27360" rIns="27360" bIns="2736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ADICIONAR LINHAS</a:t>
          </a:r>
        </a:p>
      </xdr:txBody>
    </xdr:sp>
    <xdr:clientData fPrintsWithSheet="0"/>
  </xdr:twoCellAnchor>
  <xdr:twoCellAnchor>
    <xdr:from>
      <xdr:col>17</xdr:col>
      <xdr:colOff>85725</xdr:colOff>
      <xdr:row>9</xdr:row>
      <xdr:rowOff>0</xdr:rowOff>
    </xdr:from>
    <xdr:to>
      <xdr:col>17</xdr:col>
      <xdr:colOff>1514475</xdr:colOff>
      <xdr:row>10</xdr:row>
      <xdr:rowOff>152400</xdr:rowOff>
    </xdr:to>
    <xdr:sp macro="[1]!Descrição.fixar">
      <xdr:nvSpPr>
        <xdr:cNvPr id="4" name="AutoShape 67"/>
        <xdr:cNvSpPr>
          <a:spLocks/>
        </xdr:cNvSpPr>
      </xdr:nvSpPr>
      <xdr:spPr>
        <a:xfrm>
          <a:off x="4438650" y="1504950"/>
          <a:ext cx="1428750" cy="342900"/>
        </a:xfrm>
        <a:prstGeom prst="roundRect">
          <a:avLst/>
        </a:prstGeom>
        <a:solidFill>
          <a:srgbClr val="FFCC99"/>
        </a:solidFill>
        <a:ln w="936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360" tIns="27360" rIns="27360" bIns="2736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FIXAR DESCRIÇÕES</a:t>
          </a:r>
        </a:p>
      </xdr:txBody>
    </xdr:sp>
    <xdr:clientData fPrintsWithSheet="0"/>
  </xdr:twoCellAnchor>
  <xdr:twoCellAnchor>
    <xdr:from>
      <xdr:col>15</xdr:col>
      <xdr:colOff>676275</xdr:colOff>
      <xdr:row>9</xdr:row>
      <xdr:rowOff>0</xdr:rowOff>
    </xdr:from>
    <xdr:to>
      <xdr:col>17</xdr:col>
      <xdr:colOff>9525</xdr:colOff>
      <xdr:row>10</xdr:row>
      <xdr:rowOff>152400</xdr:rowOff>
    </xdr:to>
    <xdr:sp macro="[1]!Linhas.ExcLinhas">
      <xdr:nvSpPr>
        <xdr:cNvPr id="5" name="AutoShape 67"/>
        <xdr:cNvSpPr>
          <a:spLocks/>
        </xdr:cNvSpPr>
      </xdr:nvSpPr>
      <xdr:spPr>
        <a:xfrm>
          <a:off x="2933700" y="1504950"/>
          <a:ext cx="1428750" cy="342900"/>
        </a:xfrm>
        <a:prstGeom prst="roundRect">
          <a:avLst/>
        </a:prstGeom>
        <a:solidFill>
          <a:srgbClr val="FFCC99"/>
        </a:solidFill>
        <a:ln w="936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360" tIns="27360" rIns="27360" bIns="2736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EXCLUIR LINHAS</a:t>
          </a:r>
        </a:p>
      </xdr:txBody>
    </xdr:sp>
    <xdr:clientData fPrintsWithSheet="0"/>
  </xdr:twoCellAnchor>
  <xdr:twoCellAnchor>
    <xdr:from>
      <xdr:col>17</xdr:col>
      <xdr:colOff>1590675</xdr:colOff>
      <xdr:row>9</xdr:row>
      <xdr:rowOff>0</xdr:rowOff>
    </xdr:from>
    <xdr:to>
      <xdr:col>17</xdr:col>
      <xdr:colOff>3248025</xdr:colOff>
      <xdr:row>10</xdr:row>
      <xdr:rowOff>152400</xdr:rowOff>
    </xdr:to>
    <xdr:sp macro="[1]!Descrição.recuperar">
      <xdr:nvSpPr>
        <xdr:cNvPr id="6" name="AutoShape 67"/>
        <xdr:cNvSpPr>
          <a:spLocks/>
        </xdr:cNvSpPr>
      </xdr:nvSpPr>
      <xdr:spPr>
        <a:xfrm>
          <a:off x="5943600" y="1504950"/>
          <a:ext cx="1657350" cy="342900"/>
        </a:xfrm>
        <a:prstGeom prst="roundRect">
          <a:avLst/>
        </a:prstGeom>
        <a:solidFill>
          <a:srgbClr val="FFCC99"/>
        </a:solidFill>
        <a:ln w="936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360" tIns="27360" rIns="27360" bIns="2736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RECUPERAR FÓRMULAS</a:t>
          </a:r>
        </a:p>
      </xdr:txBody>
    </xdr:sp>
    <xdr:clientData fPrintsWithSheet="0"/>
  </xdr:twoCellAnchor>
  <xdr:twoCellAnchor>
    <xdr:from>
      <xdr:col>17</xdr:col>
      <xdr:colOff>3314700</xdr:colOff>
      <xdr:row>9</xdr:row>
      <xdr:rowOff>0</xdr:rowOff>
    </xdr:from>
    <xdr:to>
      <xdr:col>18</xdr:col>
      <xdr:colOff>266700</xdr:colOff>
      <xdr:row>10</xdr:row>
      <xdr:rowOff>152400</xdr:rowOff>
    </xdr:to>
    <xdr:sp macro="[1]!buscarcodigo">
      <xdr:nvSpPr>
        <xdr:cNvPr id="7" name="AutoShape 67"/>
        <xdr:cNvSpPr>
          <a:spLocks/>
        </xdr:cNvSpPr>
      </xdr:nvSpPr>
      <xdr:spPr>
        <a:xfrm>
          <a:off x="7667625" y="1504950"/>
          <a:ext cx="1333500" cy="342900"/>
        </a:xfrm>
        <a:prstGeom prst="roundRect">
          <a:avLst/>
        </a:prstGeom>
        <a:solidFill>
          <a:srgbClr val="FFCC99"/>
        </a:solidFill>
        <a:ln w="936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360" tIns="27360" rIns="27360" bIns="2736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BUSCAR CÓDIGO</a:t>
          </a:r>
        </a:p>
      </xdr:txBody>
    </xdr:sp>
    <xdr:clientData fPrintsWithSheet="0"/>
  </xdr:twoCellAnchor>
  <xdr:twoCellAnchor>
    <xdr:from>
      <xdr:col>12</xdr:col>
      <xdr:colOff>295275</xdr:colOff>
      <xdr:row>2</xdr:row>
      <xdr:rowOff>85725</xdr:rowOff>
    </xdr:from>
    <xdr:to>
      <xdr:col>13</xdr:col>
      <xdr:colOff>285750</xdr:colOff>
      <xdr:row>4</xdr:row>
      <xdr:rowOff>66675</xdr:rowOff>
    </xdr:to>
    <xdr:sp>
      <xdr:nvSpPr>
        <xdr:cNvPr id="8" name="AutoShape 67">
          <a:hlinkClick r:id="rId2"/>
        </xdr:cNvPr>
        <xdr:cNvSpPr>
          <a:spLocks/>
        </xdr:cNvSpPr>
      </xdr:nvSpPr>
      <xdr:spPr>
        <a:xfrm>
          <a:off x="542925" y="504825"/>
          <a:ext cx="571500" cy="361950"/>
        </a:xfrm>
        <a:prstGeom prst="roundRect">
          <a:avLst/>
        </a:prstGeom>
        <a:solidFill>
          <a:srgbClr val="99CCFF"/>
        </a:solidFill>
        <a:ln w="936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360" tIns="27360" rIns="27360" bIns="2736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←</a:t>
          </a:r>
        </a:p>
      </xdr:txBody>
    </xdr:sp>
    <xdr:clientData/>
  </xdr:twoCellAnchor>
  <xdr:twoCellAnchor>
    <xdr:from>
      <xdr:col>12</xdr:col>
      <xdr:colOff>304800</xdr:colOff>
      <xdr:row>4</xdr:row>
      <xdr:rowOff>123825</xdr:rowOff>
    </xdr:from>
    <xdr:to>
      <xdr:col>13</xdr:col>
      <xdr:colOff>285750</xdr:colOff>
      <xdr:row>7</xdr:row>
      <xdr:rowOff>57150</xdr:rowOff>
    </xdr:to>
    <xdr:sp>
      <xdr:nvSpPr>
        <xdr:cNvPr id="9" name="AutoShape 67">
          <a:hlinkClick r:id="rId3"/>
        </xdr:cNvPr>
        <xdr:cNvSpPr>
          <a:spLocks/>
        </xdr:cNvSpPr>
      </xdr:nvSpPr>
      <xdr:spPr>
        <a:xfrm>
          <a:off x="552450" y="923925"/>
          <a:ext cx="561975" cy="314325"/>
        </a:xfrm>
        <a:prstGeom prst="roundRect">
          <a:avLst/>
        </a:prstGeom>
        <a:solidFill>
          <a:srgbClr val="99CCFF"/>
        </a:solidFill>
        <a:ln w="936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360" tIns="27360" rIns="27360" bIns="2736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server\DADOS\OBRAS%20E%20SERVI&#199;OS\PM%20NAVIRA&#205;%20-%20REFORMA%20PARQUE%20EXPOI&#199;&#195;O\OR&#199;AMENTO\MO27476007%20PO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CRONO"/>
      <sheetName val="EVENTOS"/>
      <sheetName val="CRONOPLE"/>
      <sheetName val="PLE"/>
      <sheetName val="QCI"/>
      <sheetName val="BM"/>
      <sheetName val="RRE"/>
      <sheetName val="OFÍCIO"/>
      <sheetName val="MO27476007 PO  "/>
    </sheetNames>
    <definedNames>
      <definedName name="buscarcodigo"/>
      <definedName name="Descrição.fixar"/>
      <definedName name="Descrição.recuperar"/>
      <definedName name="Linhas.AddLinha"/>
      <definedName name="Linhas.ExcLinhas"/>
    </definedNames>
    <sheetDataSet>
      <sheetData sheetId="0">
        <row r="3">
          <cell r="O3">
            <v>1</v>
          </cell>
        </row>
        <row r="4">
          <cell r="O4">
            <v>2</v>
          </cell>
        </row>
      </sheetData>
      <sheetData sheetId="1">
        <row r="4">
          <cell r="F4" t="str">
            <v>OGU</v>
          </cell>
        </row>
        <row r="5">
          <cell r="F5" t="str">
            <v>PREFEITURA MUNICIPAL DE NAVIRAI</v>
          </cell>
        </row>
        <row r="6">
          <cell r="F6" t="str">
            <v>NAVIRAÍ/MS</v>
          </cell>
        </row>
        <row r="16">
          <cell r="F16" t="str">
            <v>REFORMA PARQUE DE EXPOSIÇÕES</v>
          </cell>
        </row>
        <row r="18">
          <cell r="F18" t="str">
            <v>NÃO DESONERADO</v>
          </cell>
        </row>
        <row r="22">
          <cell r="F22" t="str">
            <v>QUEM FOR ASSINAR</v>
          </cell>
        </row>
        <row r="23">
          <cell r="F23" t="str">
            <v>CREA DE QUEM FOR ASSINAR</v>
          </cell>
        </row>
      </sheetData>
      <sheetData sheetId="3">
        <row r="29">
          <cell r="S29">
            <v>0.2282</v>
          </cell>
        </row>
        <row r="30">
          <cell r="S30">
            <v>0.2282</v>
          </cell>
        </row>
        <row r="69">
          <cell r="S69">
            <v>0</v>
          </cell>
        </row>
        <row r="70">
          <cell r="S70">
            <v>0</v>
          </cell>
        </row>
        <row r="109">
          <cell r="S109">
            <v>0</v>
          </cell>
        </row>
        <row r="110">
          <cell r="S110">
            <v>0</v>
          </cell>
        </row>
      </sheetData>
      <sheetData sheetId="4">
        <row r="14">
          <cell r="E14" t="str">
            <v>n1</v>
          </cell>
        </row>
        <row r="16">
          <cell r="E16">
            <v>1</v>
          </cell>
        </row>
        <row r="17">
          <cell r="E17">
            <v>1</v>
          </cell>
        </row>
        <row r="18">
          <cell r="E18">
            <v>1</v>
          </cell>
        </row>
        <row r="19">
          <cell r="E19">
            <v>1</v>
          </cell>
        </row>
        <row r="20">
          <cell r="E20">
            <v>1</v>
          </cell>
        </row>
        <row r="21">
          <cell r="E21">
            <v>1</v>
          </cell>
        </row>
        <row r="22">
          <cell r="E22">
            <v>1</v>
          </cell>
        </row>
        <row r="23">
          <cell r="E23">
            <v>1</v>
          </cell>
        </row>
        <row r="24">
          <cell r="E24">
            <v>1</v>
          </cell>
        </row>
        <row r="25">
          <cell r="E25">
            <v>2</v>
          </cell>
        </row>
        <row r="26">
          <cell r="E26">
            <v>2</v>
          </cell>
        </row>
        <row r="27">
          <cell r="E27">
            <v>2</v>
          </cell>
        </row>
        <row r="28">
          <cell r="E28">
            <v>2</v>
          </cell>
        </row>
        <row r="29">
          <cell r="E29">
            <v>2</v>
          </cell>
        </row>
        <row r="30">
          <cell r="E30">
            <v>3</v>
          </cell>
        </row>
        <row r="31">
          <cell r="E31">
            <v>3</v>
          </cell>
        </row>
        <row r="32">
          <cell r="E32">
            <v>3</v>
          </cell>
        </row>
        <row r="33">
          <cell r="E33">
            <v>3</v>
          </cell>
        </row>
        <row r="34">
          <cell r="E34">
            <v>4</v>
          </cell>
        </row>
        <row r="35">
          <cell r="E35">
            <v>4</v>
          </cell>
        </row>
        <row r="36">
          <cell r="E36">
            <v>4</v>
          </cell>
        </row>
        <row r="37">
          <cell r="E37">
            <v>4</v>
          </cell>
        </row>
        <row r="38">
          <cell r="E38">
            <v>4</v>
          </cell>
        </row>
        <row r="39">
          <cell r="E39">
            <v>4</v>
          </cell>
        </row>
        <row r="43">
          <cell r="E43">
            <v>5</v>
          </cell>
        </row>
        <row r="44">
          <cell r="E44">
            <v>5</v>
          </cell>
        </row>
        <row r="45">
          <cell r="E45">
            <v>5</v>
          </cell>
        </row>
        <row r="46">
          <cell r="E46">
            <v>5</v>
          </cell>
        </row>
        <row r="47">
          <cell r="E47">
            <v>5</v>
          </cell>
        </row>
        <row r="48">
          <cell r="E48">
            <v>6</v>
          </cell>
        </row>
        <row r="49">
          <cell r="E49">
            <v>6</v>
          </cell>
        </row>
        <row r="50">
          <cell r="E50">
            <v>6</v>
          </cell>
        </row>
        <row r="51">
          <cell r="E51">
            <v>6</v>
          </cell>
        </row>
        <row r="52">
          <cell r="E52">
            <v>7</v>
          </cell>
        </row>
        <row r="53">
          <cell r="E53">
            <v>7</v>
          </cell>
        </row>
        <row r="54">
          <cell r="E54">
            <v>7</v>
          </cell>
        </row>
        <row r="55">
          <cell r="E55">
            <v>7</v>
          </cell>
        </row>
        <row r="56">
          <cell r="E56">
            <v>7</v>
          </cell>
        </row>
        <row r="57">
          <cell r="E57">
            <v>7</v>
          </cell>
        </row>
        <row r="58">
          <cell r="E58">
            <v>7</v>
          </cell>
        </row>
        <row r="59">
          <cell r="E59">
            <v>7</v>
          </cell>
        </row>
        <row r="60">
          <cell r="E60">
            <v>8</v>
          </cell>
        </row>
        <row r="61">
          <cell r="E61">
            <v>8</v>
          </cell>
        </row>
        <row r="62">
          <cell r="E62">
            <v>8</v>
          </cell>
        </row>
        <row r="63">
          <cell r="E63">
            <v>8</v>
          </cell>
        </row>
        <row r="64">
          <cell r="E64">
            <v>9</v>
          </cell>
        </row>
        <row r="65">
          <cell r="E65">
            <v>9</v>
          </cell>
        </row>
        <row r="66">
          <cell r="E66">
            <v>9</v>
          </cell>
        </row>
        <row r="67">
          <cell r="E67">
            <v>10</v>
          </cell>
        </row>
        <row r="68">
          <cell r="E68">
            <v>10</v>
          </cell>
        </row>
        <row r="69">
          <cell r="E69">
            <v>10</v>
          </cell>
        </row>
        <row r="70">
          <cell r="E70">
            <v>10</v>
          </cell>
        </row>
        <row r="71">
          <cell r="E71">
            <v>11</v>
          </cell>
        </row>
        <row r="72">
          <cell r="E72">
            <v>11</v>
          </cell>
        </row>
        <row r="74">
          <cell r="E74">
            <v>11</v>
          </cell>
        </row>
        <row r="75">
          <cell r="E75">
            <v>11</v>
          </cell>
        </row>
        <row r="76">
          <cell r="E76">
            <v>11</v>
          </cell>
        </row>
        <row r="77">
          <cell r="E77">
            <v>11</v>
          </cell>
        </row>
        <row r="78">
          <cell r="E78">
            <v>11</v>
          </cell>
        </row>
        <row r="79">
          <cell r="E79">
            <v>11</v>
          </cell>
        </row>
        <row r="80">
          <cell r="E80">
            <v>11</v>
          </cell>
        </row>
        <row r="81">
          <cell r="E81">
            <v>11</v>
          </cell>
        </row>
        <row r="82">
          <cell r="E82">
            <v>11</v>
          </cell>
        </row>
        <row r="83">
          <cell r="E83">
            <v>11</v>
          </cell>
        </row>
        <row r="84">
          <cell r="E84">
            <v>11</v>
          </cell>
        </row>
        <row r="85">
          <cell r="E85">
            <v>11</v>
          </cell>
        </row>
        <row r="86">
          <cell r="E86">
            <v>11</v>
          </cell>
        </row>
        <row r="87">
          <cell r="E87">
            <v>11</v>
          </cell>
        </row>
        <row r="88">
          <cell r="E88">
            <v>11</v>
          </cell>
        </row>
        <row r="89">
          <cell r="E89">
            <v>11</v>
          </cell>
        </row>
        <row r="90">
          <cell r="E90">
            <v>11</v>
          </cell>
        </row>
        <row r="91">
          <cell r="E91">
            <v>12</v>
          </cell>
        </row>
        <row r="92">
          <cell r="E92">
            <v>12</v>
          </cell>
        </row>
        <row r="93">
          <cell r="E93">
            <v>12</v>
          </cell>
        </row>
        <row r="94">
          <cell r="E94">
            <v>12</v>
          </cell>
        </row>
        <row r="95">
          <cell r="E95">
            <v>12</v>
          </cell>
        </row>
        <row r="96">
          <cell r="E96">
            <v>12</v>
          </cell>
        </row>
        <row r="97">
          <cell r="E97">
            <v>12</v>
          </cell>
        </row>
        <row r="98">
          <cell r="E98">
            <v>12</v>
          </cell>
        </row>
        <row r="99">
          <cell r="E99">
            <v>12</v>
          </cell>
        </row>
        <row r="100">
          <cell r="E100">
            <v>12</v>
          </cell>
        </row>
        <row r="101">
          <cell r="E101">
            <v>12</v>
          </cell>
        </row>
        <row r="102">
          <cell r="E102">
            <v>12</v>
          </cell>
        </row>
        <row r="103">
          <cell r="E103">
            <v>12</v>
          </cell>
        </row>
        <row r="104">
          <cell r="E104">
            <v>12</v>
          </cell>
        </row>
        <row r="105">
          <cell r="E105">
            <v>12</v>
          </cell>
        </row>
        <row r="106">
          <cell r="E106">
            <v>12</v>
          </cell>
        </row>
        <row r="107">
          <cell r="E107">
            <v>12</v>
          </cell>
        </row>
        <row r="108">
          <cell r="E108">
            <v>12</v>
          </cell>
        </row>
        <row r="109">
          <cell r="E109">
            <v>12</v>
          </cell>
        </row>
        <row r="110">
          <cell r="E110">
            <v>13</v>
          </cell>
        </row>
        <row r="111">
          <cell r="E111">
            <v>13</v>
          </cell>
        </row>
        <row r="112">
          <cell r="E112">
            <v>13</v>
          </cell>
        </row>
        <row r="113">
          <cell r="E113">
            <v>13</v>
          </cell>
        </row>
        <row r="114">
          <cell r="E114">
            <v>13</v>
          </cell>
        </row>
        <row r="115">
          <cell r="E115">
            <v>14</v>
          </cell>
        </row>
        <row r="116">
          <cell r="E116">
            <v>14</v>
          </cell>
        </row>
        <row r="117">
          <cell r="E117">
            <v>14</v>
          </cell>
        </row>
        <row r="118">
          <cell r="E118">
            <v>14</v>
          </cell>
        </row>
        <row r="119">
          <cell r="E119">
            <v>14</v>
          </cell>
        </row>
        <row r="120">
          <cell r="E120">
            <v>14</v>
          </cell>
        </row>
        <row r="121">
          <cell r="E121">
            <v>14</v>
          </cell>
        </row>
        <row r="122">
          <cell r="E122">
            <v>14</v>
          </cell>
        </row>
        <row r="123">
          <cell r="E123">
            <v>14</v>
          </cell>
        </row>
        <row r="124">
          <cell r="E124">
            <v>14</v>
          </cell>
        </row>
        <row r="125">
          <cell r="E125">
            <v>14</v>
          </cell>
        </row>
        <row r="126">
          <cell r="E126">
            <v>14</v>
          </cell>
        </row>
        <row r="127">
          <cell r="E127">
            <v>14</v>
          </cell>
        </row>
        <row r="128">
          <cell r="E128">
            <v>14</v>
          </cell>
        </row>
        <row r="129">
          <cell r="E129">
            <v>14</v>
          </cell>
        </row>
        <row r="130">
          <cell r="E130">
            <v>14</v>
          </cell>
        </row>
        <row r="131">
          <cell r="E131">
            <v>14</v>
          </cell>
        </row>
        <row r="132">
          <cell r="E132">
            <v>14</v>
          </cell>
        </row>
        <row r="133">
          <cell r="E133">
            <v>15</v>
          </cell>
        </row>
        <row r="134">
          <cell r="E134">
            <v>15</v>
          </cell>
        </row>
        <row r="135">
          <cell r="E135">
            <v>15</v>
          </cell>
        </row>
        <row r="136">
          <cell r="E136">
            <v>15</v>
          </cell>
        </row>
        <row r="137">
          <cell r="E137">
            <v>15</v>
          </cell>
        </row>
        <row r="138">
          <cell r="E138">
            <v>15</v>
          </cell>
        </row>
        <row r="140">
          <cell r="E140">
            <v>15</v>
          </cell>
        </row>
        <row r="142">
          <cell r="E142">
            <v>15</v>
          </cell>
        </row>
        <row r="143">
          <cell r="E143">
            <v>15</v>
          </cell>
        </row>
        <row r="144">
          <cell r="E144">
            <v>15</v>
          </cell>
        </row>
        <row r="145">
          <cell r="E145">
            <v>15</v>
          </cell>
        </row>
        <row r="146">
          <cell r="E146">
            <v>15</v>
          </cell>
        </row>
        <row r="147">
          <cell r="E147">
            <v>15</v>
          </cell>
        </row>
        <row r="148">
          <cell r="E148">
            <v>16</v>
          </cell>
        </row>
        <row r="149">
          <cell r="E149">
            <v>16</v>
          </cell>
        </row>
        <row r="150">
          <cell r="E150">
            <v>16</v>
          </cell>
        </row>
        <row r="151">
          <cell r="E151">
            <v>16</v>
          </cell>
        </row>
        <row r="152">
          <cell r="E152">
            <v>16</v>
          </cell>
        </row>
        <row r="153">
          <cell r="E153">
            <v>16</v>
          </cell>
        </row>
        <row r="155">
          <cell r="E155">
            <v>16</v>
          </cell>
        </row>
        <row r="156">
          <cell r="E156">
            <v>16</v>
          </cell>
        </row>
        <row r="157">
          <cell r="E157">
            <v>17</v>
          </cell>
        </row>
        <row r="158">
          <cell r="E158">
            <v>17</v>
          </cell>
        </row>
        <row r="159">
          <cell r="E159">
            <v>17</v>
          </cell>
        </row>
        <row r="160">
          <cell r="E160">
            <v>17</v>
          </cell>
        </row>
        <row r="161">
          <cell r="E161">
            <v>17</v>
          </cell>
        </row>
        <row r="162">
          <cell r="E162">
            <v>17</v>
          </cell>
        </row>
        <row r="164">
          <cell r="E164">
            <v>17</v>
          </cell>
        </row>
        <row r="165">
          <cell r="E165">
            <v>17</v>
          </cell>
        </row>
        <row r="166">
          <cell r="E166">
            <v>18</v>
          </cell>
        </row>
        <row r="167">
          <cell r="E167">
            <v>18</v>
          </cell>
        </row>
        <row r="168">
          <cell r="E168">
            <v>18</v>
          </cell>
        </row>
        <row r="169">
          <cell r="E169">
            <v>18</v>
          </cell>
        </row>
        <row r="170">
          <cell r="E170">
            <v>18</v>
          </cell>
        </row>
        <row r="171">
          <cell r="E171">
            <v>18</v>
          </cell>
        </row>
        <row r="172">
          <cell r="E172">
            <v>18</v>
          </cell>
        </row>
        <row r="173">
          <cell r="E173">
            <v>19</v>
          </cell>
        </row>
        <row r="174">
          <cell r="E174">
            <v>19</v>
          </cell>
        </row>
        <row r="175">
          <cell r="E175">
            <v>19</v>
          </cell>
        </row>
        <row r="176">
          <cell r="E176">
            <v>19</v>
          </cell>
        </row>
        <row r="177">
          <cell r="E177">
            <v>19</v>
          </cell>
        </row>
        <row r="178">
          <cell r="E178">
            <v>20</v>
          </cell>
        </row>
        <row r="179">
          <cell r="E179">
            <v>20</v>
          </cell>
        </row>
        <row r="180">
          <cell r="E180">
            <v>20</v>
          </cell>
        </row>
        <row r="181">
          <cell r="E181">
            <v>20</v>
          </cell>
        </row>
        <row r="182">
          <cell r="E182">
            <v>20</v>
          </cell>
        </row>
        <row r="183">
          <cell r="E183">
            <v>21</v>
          </cell>
        </row>
        <row r="184">
          <cell r="E184">
            <v>21</v>
          </cell>
        </row>
        <row r="185">
          <cell r="E185">
            <v>21</v>
          </cell>
        </row>
        <row r="186">
          <cell r="E186">
            <v>21</v>
          </cell>
        </row>
        <row r="187">
          <cell r="E187">
            <v>21</v>
          </cell>
        </row>
        <row r="188">
          <cell r="E188">
            <v>22</v>
          </cell>
        </row>
        <row r="189">
          <cell r="E189">
            <v>22</v>
          </cell>
        </row>
        <row r="190">
          <cell r="E190">
            <v>22</v>
          </cell>
        </row>
        <row r="191">
          <cell r="E191">
            <v>22</v>
          </cell>
        </row>
        <row r="192">
          <cell r="E192">
            <v>22</v>
          </cell>
        </row>
        <row r="193">
          <cell r="E193">
            <v>23</v>
          </cell>
        </row>
        <row r="194">
          <cell r="E194">
            <v>23</v>
          </cell>
        </row>
        <row r="195">
          <cell r="E195">
            <v>23</v>
          </cell>
        </row>
        <row r="196">
          <cell r="E196">
            <v>23</v>
          </cell>
        </row>
        <row r="197">
          <cell r="E197">
            <v>24</v>
          </cell>
        </row>
        <row r="198">
          <cell r="E198">
            <v>24</v>
          </cell>
        </row>
        <row r="199">
          <cell r="E199">
            <v>24</v>
          </cell>
        </row>
        <row r="200">
          <cell r="E200">
            <v>24</v>
          </cell>
        </row>
        <row r="201">
          <cell r="E201">
            <v>24</v>
          </cell>
        </row>
        <row r="202">
          <cell r="E202">
            <v>24</v>
          </cell>
        </row>
        <row r="203">
          <cell r="E203">
            <v>24</v>
          </cell>
        </row>
        <row r="204">
          <cell r="E204">
            <v>24</v>
          </cell>
        </row>
        <row r="205">
          <cell r="E205">
            <v>24</v>
          </cell>
        </row>
        <row r="206">
          <cell r="E206">
            <v>24</v>
          </cell>
        </row>
        <row r="207">
          <cell r="E207">
            <v>24</v>
          </cell>
        </row>
        <row r="208">
          <cell r="E208">
            <v>24</v>
          </cell>
        </row>
        <row r="209">
          <cell r="E209">
            <v>24</v>
          </cell>
        </row>
        <row r="210">
          <cell r="E210">
            <v>25</v>
          </cell>
        </row>
        <row r="211">
          <cell r="E211">
            <v>25</v>
          </cell>
        </row>
        <row r="212">
          <cell r="E212">
            <v>25</v>
          </cell>
        </row>
        <row r="213">
          <cell r="E213">
            <v>25</v>
          </cell>
        </row>
        <row r="214">
          <cell r="E214">
            <v>26</v>
          </cell>
        </row>
        <row r="215">
          <cell r="E215">
            <v>26</v>
          </cell>
        </row>
        <row r="216">
          <cell r="E216">
            <v>26</v>
          </cell>
        </row>
        <row r="217">
          <cell r="E217">
            <v>26</v>
          </cell>
        </row>
      </sheetData>
      <sheetData sheetId="6">
        <row r="10">
          <cell r="G10">
            <v>3</v>
          </cell>
        </row>
      </sheetData>
      <sheetData sheetId="10">
        <row r="3">
          <cell r="AA3">
            <v>0</v>
          </cell>
        </row>
        <row r="13">
          <cell r="A13">
            <v>0</v>
          </cell>
        </row>
        <row r="14">
          <cell r="A14">
            <v>1</v>
          </cell>
        </row>
        <row r="15">
          <cell r="A15">
            <v>2</v>
          </cell>
        </row>
        <row r="16">
          <cell r="A16">
            <v>3</v>
          </cell>
        </row>
        <row r="17">
          <cell r="A17">
            <v>4</v>
          </cell>
        </row>
        <row r="18">
          <cell r="A18">
            <v>5</v>
          </cell>
        </row>
        <row r="19">
          <cell r="A19">
            <v>6</v>
          </cell>
        </row>
        <row r="20">
          <cell r="A20">
            <v>7</v>
          </cell>
        </row>
        <row r="21">
          <cell r="A21">
            <v>8</v>
          </cell>
        </row>
        <row r="22">
          <cell r="A22">
            <v>9</v>
          </cell>
        </row>
        <row r="23">
          <cell r="A23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40"/>
  <sheetViews>
    <sheetView tabSelected="1" view="pageBreakPreview" zoomScaleSheetLayoutView="100" zoomScalePageLayoutView="0" workbookViewId="0" topLeftCell="L1">
      <selection activeCell="U18" sqref="U18:U222"/>
    </sheetView>
  </sheetViews>
  <sheetFormatPr defaultColWidth="9.140625" defaultRowHeight="15"/>
  <cols>
    <col min="1" max="1" width="5.57421875" style="0" hidden="1" customWidth="1"/>
    <col min="2" max="2" width="10.421875" style="0" hidden="1" customWidth="1"/>
    <col min="3" max="3" width="5.57421875" style="0" hidden="1" customWidth="1"/>
    <col min="4" max="4" width="12.8515625" style="0" hidden="1" customWidth="1"/>
    <col min="5" max="5" width="8.7109375" style="0" hidden="1" customWidth="1"/>
    <col min="6" max="6" width="12.421875" style="0" hidden="1" customWidth="1"/>
    <col min="7" max="7" width="14.57421875" style="0" hidden="1" customWidth="1"/>
    <col min="8" max="8" width="11.28125" style="0" hidden="1" customWidth="1"/>
    <col min="9" max="9" width="13.421875" style="0" hidden="1" customWidth="1"/>
    <col min="10" max="10" width="7.28125" style="0" hidden="1" customWidth="1"/>
    <col min="11" max="11" width="7.57421875" style="0" hidden="1" customWidth="1"/>
    <col min="12" max="12" width="3.7109375" style="0" customWidth="1"/>
    <col min="13" max="14" width="8.7109375" style="0" customWidth="1"/>
    <col min="15" max="15" width="12.7109375" style="0" customWidth="1"/>
    <col min="16" max="17" width="15.7109375" style="0" customWidth="1"/>
    <col min="18" max="18" width="65.7109375" style="0" customWidth="1"/>
    <col min="19" max="19" width="10.7109375" style="0" customWidth="1"/>
    <col min="20" max="21" width="14.7109375" style="0" customWidth="1"/>
    <col min="22" max="22" width="10.7109375" style="0" customWidth="1"/>
    <col min="23" max="23" width="14.7109375" style="0" customWidth="1"/>
    <col min="24" max="24" width="15.7109375" style="0" customWidth="1"/>
    <col min="25" max="25" width="3.7109375" style="0" customWidth="1"/>
    <col min="26" max="26" width="3.7109375" style="0" hidden="1" customWidth="1"/>
    <col min="27" max="28" width="14.7109375" style="0" hidden="1" customWidth="1"/>
    <col min="29" max="29" width="15.7109375" style="0" customWidth="1"/>
    <col min="30" max="31" width="9.140625" style="0" hidden="1" customWidth="1"/>
    <col min="32" max="32" width="15.57421875" style="0" hidden="1" customWidth="1"/>
    <col min="33" max="33" width="15.7109375" style="0" customWidth="1"/>
    <col min="35" max="35" width="1.7109375" style="0" customWidth="1"/>
    <col min="36" max="36" width="14.7109375" style="0" customWidth="1"/>
    <col min="37" max="37" width="1.7109375" style="0" customWidth="1"/>
    <col min="38" max="38" width="14.7109375" style="0" customWidth="1"/>
    <col min="39" max="40" width="15.7109375" style="0" customWidth="1"/>
  </cols>
  <sheetData>
    <row r="1" spans="1:40" ht="18">
      <c r="A1" s="1"/>
      <c r="B1" s="1"/>
      <c r="C1" s="1"/>
      <c r="D1" s="1"/>
      <c r="F1" s="2"/>
      <c r="G1" s="3"/>
      <c r="H1" s="1"/>
      <c r="I1" s="1"/>
      <c r="J1" s="1"/>
      <c r="K1" s="1"/>
      <c r="L1" s="1"/>
      <c r="M1" s="4"/>
      <c r="N1" s="4"/>
      <c r="O1" s="1"/>
      <c r="P1" s="1"/>
      <c r="Q1" s="1"/>
      <c r="R1" s="5" t="s">
        <v>0</v>
      </c>
      <c r="S1" s="1"/>
      <c r="T1" s="5"/>
      <c r="U1" s="1"/>
      <c r="V1" s="1"/>
      <c r="W1" s="1"/>
      <c r="X1" s="6" t="s">
        <v>1</v>
      </c>
      <c r="Y1" s="7"/>
      <c r="Z1" s="7"/>
      <c r="AA1" s="7"/>
      <c r="AB1" s="7"/>
      <c r="AC1" s="8"/>
      <c r="AD1" s="8"/>
      <c r="AG1" s="8"/>
      <c r="AH1" s="8"/>
      <c r="AN1" s="8"/>
    </row>
    <row r="2" spans="1:34" ht="15">
      <c r="A2" s="8"/>
      <c r="B2" s="8"/>
      <c r="C2" s="8"/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8"/>
      <c r="K2" s="8"/>
      <c r="L2" s="8"/>
      <c r="M2" s="8"/>
      <c r="N2" s="8"/>
      <c r="O2" s="8"/>
      <c r="P2" s="8"/>
      <c r="Q2" s="8"/>
      <c r="R2" s="10" t="str">
        <f>IF(TIPOORCAMENTO="licitado","Orçamento Licitado","Orçamento Base para Licitação")&amp;" - "&amp;import.recurso</f>
        <v>Orçamento Base para Licitação - OGU</v>
      </c>
      <c r="S2" s="8"/>
      <c r="T2" s="8"/>
      <c r="U2" s="8"/>
      <c r="V2" s="8"/>
      <c r="W2" s="8"/>
      <c r="X2" s="11" t="s">
        <v>8</v>
      </c>
      <c r="Y2" s="12"/>
      <c r="Z2" s="12"/>
      <c r="AA2" s="12"/>
      <c r="AB2" s="12"/>
      <c r="AC2" s="8"/>
      <c r="AD2" s="8"/>
      <c r="AH2" s="8"/>
    </row>
    <row r="3" spans="1:40" ht="15">
      <c r="A3" s="8"/>
      <c r="B3" s="8"/>
      <c r="C3" s="8"/>
      <c r="D3" s="8"/>
      <c r="F3" s="2"/>
      <c r="H3" s="13"/>
      <c r="I3" s="8"/>
      <c r="J3" s="8"/>
      <c r="K3" s="8"/>
      <c r="L3" s="8"/>
      <c r="M3" s="8"/>
      <c r="N3" s="8"/>
      <c r="O3" s="8"/>
      <c r="P3" s="8"/>
      <c r="Q3" s="8"/>
      <c r="R3" s="14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G3" s="8"/>
      <c r="AH3" s="8"/>
      <c r="AN3" s="8"/>
    </row>
    <row r="4" spans="1:40" ht="15">
      <c r="A4" s="8" t="s">
        <v>9</v>
      </c>
      <c r="B4" s="8"/>
      <c r="C4" s="8"/>
      <c r="D4" s="8"/>
      <c r="F4" s="2" t="s">
        <v>10</v>
      </c>
      <c r="G4" s="2" t="s">
        <v>11</v>
      </c>
      <c r="H4" s="2" t="s">
        <v>12</v>
      </c>
      <c r="I4" s="15">
        <v>0</v>
      </c>
      <c r="J4" s="8"/>
      <c r="K4" s="8"/>
      <c r="L4" s="8"/>
      <c r="M4" s="8"/>
      <c r="N4" s="8"/>
      <c r="O4" s="125" t="s">
        <v>13</v>
      </c>
      <c r="P4" s="125"/>
      <c r="Q4" s="123" t="s">
        <v>14</v>
      </c>
      <c r="R4" s="123" t="s">
        <v>15</v>
      </c>
      <c r="S4" s="125" t="s">
        <v>16</v>
      </c>
      <c r="T4" s="125"/>
      <c r="U4" s="125"/>
      <c r="V4" s="125"/>
      <c r="W4" s="125"/>
      <c r="X4" s="125"/>
      <c r="Y4" s="17"/>
      <c r="Z4" s="17"/>
      <c r="AA4" s="17"/>
      <c r="AB4" s="17"/>
      <c r="AC4" s="8"/>
      <c r="AG4" s="8"/>
      <c r="AH4" s="8"/>
      <c r="AN4" s="8"/>
    </row>
    <row r="5" spans="1:32" ht="12.75" customHeight="1">
      <c r="A5" s="18">
        <f>MAX($C$15:$C$223)</f>
        <v>3</v>
      </c>
      <c r="B5" s="18"/>
      <c r="C5" s="18"/>
      <c r="D5" s="8"/>
      <c r="F5" s="19">
        <f>IF(BDI.Opcao="DESONERADO",'[1]BDI'!$S$30,'[1]BDI'!$S$29)</f>
        <v>0.2282</v>
      </c>
      <c r="G5" s="20">
        <f>IF(BDI.Opcao="DESONERADO",'[1]BDI'!$S$70,'[1]BDI'!$S$69)</f>
        <v>0</v>
      </c>
      <c r="H5" s="20">
        <f>IF(BDI.Opcao="DESONERADO",'[1]BDI'!$S$110,'[1]BDI'!$S$109)</f>
        <v>0</v>
      </c>
      <c r="I5" s="8"/>
      <c r="J5" s="8"/>
      <c r="K5" s="8"/>
      <c r="L5" s="8"/>
      <c r="M5" s="8"/>
      <c r="N5" s="8"/>
      <c r="O5" s="126" t="e">
        <f>Import.CR</f>
        <v>#REF!</v>
      </c>
      <c r="P5" s="126"/>
      <c r="Q5" s="21" t="e">
        <f>Import.SICONV</f>
        <v>#REF!</v>
      </c>
      <c r="R5" s="22" t="str">
        <f>Import.Proponente</f>
        <v>PREFEITURA MUNICIPAL DE NAVIRAI</v>
      </c>
      <c r="S5" s="126" t="str">
        <f>Import.Apelido</f>
        <v>REFORMA PARQUE DE EXPOSIÇÕES</v>
      </c>
      <c r="T5" s="126"/>
      <c r="U5" s="126"/>
      <c r="V5" s="126"/>
      <c r="W5" s="126"/>
      <c r="X5" s="126"/>
      <c r="Y5" s="23"/>
      <c r="Z5" s="23"/>
      <c r="AA5" s="23"/>
      <c r="AB5" s="23"/>
      <c r="AC5" s="8"/>
      <c r="AE5" s="127" t="s">
        <v>17</v>
      </c>
      <c r="AF5" s="127"/>
    </row>
    <row r="6" spans="1:40" ht="4.5" customHeight="1">
      <c r="A6" s="18"/>
      <c r="B6" s="18"/>
      <c r="C6" s="18"/>
      <c r="D6" s="8"/>
      <c r="F6" s="2"/>
      <c r="H6" s="13"/>
      <c r="I6" s="8"/>
      <c r="J6" s="8"/>
      <c r="K6" s="8"/>
      <c r="L6" s="8"/>
      <c r="M6" s="8"/>
      <c r="N6" s="8"/>
      <c r="O6" s="24"/>
      <c r="P6" s="24"/>
      <c r="Q6" s="25"/>
      <c r="R6" s="25"/>
      <c r="S6" s="24"/>
      <c r="T6" s="24"/>
      <c r="U6" s="24"/>
      <c r="V6" s="24"/>
      <c r="W6" s="24"/>
      <c r="X6" s="24"/>
      <c r="Y6" s="23"/>
      <c r="Z6" s="23"/>
      <c r="AA6" s="23"/>
      <c r="AB6" s="23"/>
      <c r="AC6" s="26"/>
      <c r="AE6" s="27"/>
      <c r="AF6" s="28"/>
      <c r="AG6" s="8"/>
      <c r="AH6" s="8"/>
      <c r="AN6" s="8"/>
    </row>
    <row r="7" spans="1:38" ht="12.75" customHeight="1">
      <c r="A7" s="8"/>
      <c r="B7" s="8"/>
      <c r="C7" s="8"/>
      <c r="D7" s="8"/>
      <c r="F7" s="2"/>
      <c r="H7" s="13"/>
      <c r="I7" s="8"/>
      <c r="J7" s="8"/>
      <c r="K7" s="8"/>
      <c r="L7" s="8"/>
      <c r="M7" s="8"/>
      <c r="N7" s="8"/>
      <c r="O7" s="134" t="s">
        <v>18</v>
      </c>
      <c r="P7" s="134"/>
      <c r="Q7" s="16" t="s">
        <v>19</v>
      </c>
      <c r="R7" s="16" t="str">
        <f>IF(TIPOORCAMENTO="Licitado","NOME DA EMPRESA","DESCRIÇÃO DO LOTE")</f>
        <v>DESCRIÇÃO DO LOTE</v>
      </c>
      <c r="S7" s="135" t="str">
        <f>IF(TIPOORCAMENTO="Licitado","REGIME DE EXECUÇÃO","MUNICÍPIO / UF")</f>
        <v>MUNICÍPIO / UF</v>
      </c>
      <c r="T7" s="135"/>
      <c r="U7" s="135"/>
      <c r="V7" s="29" t="str">
        <f>IF(TIPOORCAMENTO="Licitado","","BDI 1")</f>
        <v>BDI 1</v>
      </c>
      <c r="W7" s="29" t="str">
        <f>IF(TIPOORCAMENTO="Licitado","","BDI 2")</f>
        <v>BDI 2</v>
      </c>
      <c r="X7" s="30" t="str">
        <f>IF(TIPOORCAMENTO="Licitado","Nº CTEF","BDI 3")</f>
        <v>BDI 3</v>
      </c>
      <c r="Y7" s="29"/>
      <c r="Z7" s="29"/>
      <c r="AA7" s="31"/>
      <c r="AB7" s="31"/>
      <c r="AC7" s="2"/>
      <c r="AE7" s="27" t="s">
        <v>20</v>
      </c>
      <c r="AF7" s="32" t="b">
        <v>1</v>
      </c>
      <c r="AJ7" s="128" t="s">
        <v>21</v>
      </c>
      <c r="AL7" s="129" t="s">
        <v>22</v>
      </c>
    </row>
    <row r="8" spans="1:40" ht="12.75" customHeight="1">
      <c r="A8" s="18"/>
      <c r="B8" s="18"/>
      <c r="C8" s="18"/>
      <c r="D8" s="8"/>
      <c r="F8" s="130" t="e">
        <f ca="1">IF(LEN(INFO("release"))&gt;5,"'Referência "&amp;Excel_BuiltIn_Database&amp;".xls'#Banco.$a5:$a$65536","'[Referência "&amp;Excel_BuiltIn_Database&amp;".xls]Banco'!$a5:$a$65536")</f>
        <v>#VALUE!</v>
      </c>
      <c r="G8" s="130"/>
      <c r="H8" s="130"/>
      <c r="I8" s="130"/>
      <c r="J8" s="130"/>
      <c r="K8" s="130"/>
      <c r="L8" s="131" t="s">
        <v>23</v>
      </c>
      <c r="M8" s="8"/>
      <c r="N8" s="8"/>
      <c r="O8" s="126" t="e">
        <f ca="1">IF(ISERROR(INDIRECT($F$9)),"(N/D: 'Referência "&amp;Excel_BuiltIn_Database&amp;".xls)",INDIRECT($F$9))</f>
        <v>#VALUE!</v>
      </c>
      <c r="P8" s="126"/>
      <c r="Q8" s="33" t="s">
        <v>144</v>
      </c>
      <c r="R8" s="22" t="e">
        <f>IF(TIPOORCAMENTO="Licitado",Import.empresa,Import.DescLote)</f>
        <v>#REF!</v>
      </c>
      <c r="S8" s="132" t="str">
        <f>IF(TIPOORCAMENTO="Licitado",Import.RegimeExecução,Import.Município)</f>
        <v>NAVIRAÍ/MS</v>
      </c>
      <c r="T8" s="132"/>
      <c r="U8" s="132"/>
      <c r="V8" s="34" t="str">
        <f>IF(TIPOORCAMENTO="Licitado","",TEXT(F5,"0,00%"))</f>
        <v>22,82%</v>
      </c>
      <c r="W8" s="34" t="str">
        <f>IF(TIPOORCAMENTO="Licitado","",TEXT(G5,"0,00%"))</f>
        <v>0,00%</v>
      </c>
      <c r="X8" s="35" t="str">
        <f>IF(TIPOORCAMENTO="Licitado",Import.CTEF,TEXT(H5,"0,00%"))</f>
        <v>0,00%</v>
      </c>
      <c r="Y8" s="131" t="s">
        <v>24</v>
      </c>
      <c r="Z8" s="131" t="s">
        <v>25</v>
      </c>
      <c r="AA8" s="36"/>
      <c r="AB8" s="36"/>
      <c r="AE8" s="27" t="s">
        <v>26</v>
      </c>
      <c r="AF8" s="32" t="b">
        <v>1</v>
      </c>
      <c r="AG8" s="8"/>
      <c r="AH8" s="8"/>
      <c r="AJ8" s="128"/>
      <c r="AL8" s="129"/>
      <c r="AN8" s="8"/>
    </row>
    <row r="9" spans="1:40" ht="12.75" customHeight="1">
      <c r="A9" s="8"/>
      <c r="B9" s="8"/>
      <c r="C9" s="8"/>
      <c r="D9" s="8"/>
      <c r="F9" s="130" t="e">
        <f ca="1">IF(LEN(INFO("release"))&gt;5,"'Referência "&amp;Excel_BuiltIn_Database&amp;".xls'#Banco.$d$3","'[Referência "&amp;Excel_BuiltIn_Database&amp;".xls]Banco'!$d$3")</f>
        <v>#VALUE!</v>
      </c>
      <c r="G9" s="130"/>
      <c r="H9" s="130"/>
      <c r="I9" s="130"/>
      <c r="J9" s="130"/>
      <c r="K9" s="130"/>
      <c r="L9" s="131"/>
      <c r="M9" s="8"/>
      <c r="N9" s="8"/>
      <c r="O9" s="37"/>
      <c r="P9" s="8"/>
      <c r="Q9" s="8"/>
      <c r="R9" s="8"/>
      <c r="S9" s="8"/>
      <c r="T9" s="8"/>
      <c r="U9" s="8"/>
      <c r="V9" s="8"/>
      <c r="W9" s="8"/>
      <c r="X9" s="8"/>
      <c r="Y9" s="131"/>
      <c r="Z9" s="131"/>
      <c r="AA9" s="8"/>
      <c r="AB9" s="8"/>
      <c r="AC9" s="8"/>
      <c r="AD9" s="8"/>
      <c r="AE9" s="27" t="s">
        <v>27</v>
      </c>
      <c r="AF9" s="32" t="b">
        <v>1</v>
      </c>
      <c r="AG9" s="8"/>
      <c r="AJ9" s="128"/>
      <c r="AL9" s="129"/>
      <c r="AN9" s="8"/>
    </row>
    <row r="10" spans="1:40" ht="15">
      <c r="A10" s="8"/>
      <c r="B10" s="8"/>
      <c r="C10" s="8"/>
      <c r="D10" s="8"/>
      <c r="E10" s="9"/>
      <c r="F10" s="9"/>
      <c r="G10" s="13"/>
      <c r="H10" s="13"/>
      <c r="I10" s="8"/>
      <c r="J10" s="8"/>
      <c r="K10" s="8"/>
      <c r="L10" s="131"/>
      <c r="M10" s="8"/>
      <c r="N10" s="8"/>
      <c r="O10" s="37"/>
      <c r="P10" s="8"/>
      <c r="Q10" s="8"/>
      <c r="R10" s="8"/>
      <c r="S10" s="8"/>
      <c r="T10" s="8"/>
      <c r="U10" s="8"/>
      <c r="V10" s="8"/>
      <c r="W10" s="8"/>
      <c r="X10" s="8"/>
      <c r="Y10" s="131"/>
      <c r="Z10" s="131"/>
      <c r="AC10" s="38" t="s">
        <v>28</v>
      </c>
      <c r="AD10" s="8"/>
      <c r="AE10" s="27" t="s">
        <v>29</v>
      </c>
      <c r="AF10" s="32" t="b">
        <v>1</v>
      </c>
      <c r="AG10" s="8"/>
      <c r="AH10" s="8"/>
      <c r="AJ10" s="128"/>
      <c r="AL10" s="129"/>
      <c r="AN10" s="8"/>
    </row>
    <row r="11" spans="1:40" ht="15">
      <c r="A11" s="8"/>
      <c r="B11" s="8"/>
      <c r="C11" s="8"/>
      <c r="D11" s="8"/>
      <c r="E11" s="9"/>
      <c r="F11" s="9"/>
      <c r="G11" s="13"/>
      <c r="H11" s="39"/>
      <c r="I11" s="8"/>
      <c r="J11" s="8"/>
      <c r="K11" s="8"/>
      <c r="L11" s="131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131"/>
      <c r="Z11" s="131"/>
      <c r="AC11" s="40" t="str">
        <f ca="1">IF(COUNTIF($AC$15:OFFSET($AC$223,-1,0),"DESCRIÇÃO")+COUNTIF($AC$15:OFFSET($AC$223,-1,0),"UNIDADE")+COUNTIF($AC$15:OFFSET($AC$223,-1,0),"SEM VALOR")&gt;0,"NÃO OK","OK")</f>
        <v>OK</v>
      </c>
      <c r="AD11" s="8"/>
      <c r="AE11" s="27" t="s">
        <v>30</v>
      </c>
      <c r="AF11" s="32" t="b">
        <v>1</v>
      </c>
      <c r="AG11" s="8"/>
      <c r="AH11" s="8"/>
      <c r="AJ11" s="128"/>
      <c r="AL11" s="129"/>
      <c r="AN11" s="8"/>
    </row>
    <row r="12" spans="1:40" ht="15">
      <c r="A12" s="8"/>
      <c r="B12" s="8"/>
      <c r="C12" s="8"/>
      <c r="D12" s="8"/>
      <c r="E12" s="9"/>
      <c r="F12" s="9"/>
      <c r="G12" s="13"/>
      <c r="H12" s="13"/>
      <c r="I12" s="8"/>
      <c r="J12" s="8"/>
      <c r="K12" s="8"/>
      <c r="L12" s="131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131"/>
      <c r="Z12" s="131"/>
      <c r="AA12" s="133" t="s">
        <v>31</v>
      </c>
      <c r="AB12" s="133"/>
      <c r="AC12" s="8"/>
      <c r="AD12" s="8"/>
      <c r="AE12" s="8"/>
      <c r="AF12" s="8"/>
      <c r="AG12" s="8"/>
      <c r="AH12" s="8"/>
      <c r="AJ12" s="41" t="s">
        <v>32</v>
      </c>
      <c r="AL12" s="42" t="s">
        <v>32</v>
      </c>
      <c r="AN12" s="8"/>
    </row>
    <row r="13" spans="1:40" ht="34.5" customHeight="1">
      <c r="A13" s="43" t="s">
        <v>33</v>
      </c>
      <c r="B13" s="43" t="s">
        <v>34</v>
      </c>
      <c r="C13" s="43" t="s">
        <v>35</v>
      </c>
      <c r="D13" s="43" t="s">
        <v>36</v>
      </c>
      <c r="E13" s="43" t="s">
        <v>37</v>
      </c>
      <c r="F13" s="43" t="s">
        <v>38</v>
      </c>
      <c r="G13" s="43" t="s">
        <v>39</v>
      </c>
      <c r="H13" s="43" t="s">
        <v>40</v>
      </c>
      <c r="I13" s="43" t="s">
        <v>41</v>
      </c>
      <c r="J13" s="43" t="s">
        <v>42</v>
      </c>
      <c r="K13" s="43" t="s">
        <v>43</v>
      </c>
      <c r="L13" s="41" t="s">
        <v>32</v>
      </c>
      <c r="M13" s="43" t="s">
        <v>44</v>
      </c>
      <c r="N13" s="44" t="s">
        <v>45</v>
      </c>
      <c r="O13" s="43" t="s">
        <v>46</v>
      </c>
      <c r="P13" s="43" t="s">
        <v>47</v>
      </c>
      <c r="Q13" s="43" t="s">
        <v>48</v>
      </c>
      <c r="R13" s="43" t="s">
        <v>49</v>
      </c>
      <c r="S13" s="45" t="s">
        <v>50</v>
      </c>
      <c r="T13" s="43" t="s">
        <v>20</v>
      </c>
      <c r="U13" s="43" t="str">
        <f>IF(TIPOORCAMENTO="Licitado","","Custo Unitário (sem BDI) (R$)")</f>
        <v>Custo Unitário (sem BDI) (R$)</v>
      </c>
      <c r="V13" s="43" t="str">
        <f>IF(TIPOORCAMENTO="Licitado","","BDI
(%)")</f>
        <v>BDI
(%)</v>
      </c>
      <c r="W13" s="43" t="s">
        <v>51</v>
      </c>
      <c r="X13" s="43" t="s">
        <v>52</v>
      </c>
      <c r="Y13" s="41" t="s">
        <v>32</v>
      </c>
      <c r="Z13" s="41" t="s">
        <v>32</v>
      </c>
      <c r="AA13" s="46" t="s">
        <v>53</v>
      </c>
      <c r="AB13" s="47" t="s">
        <v>54</v>
      </c>
      <c r="AC13" s="43" t="s">
        <v>55</v>
      </c>
      <c r="AD13" s="48" t="s">
        <v>56</v>
      </c>
      <c r="AE13" s="48" t="s">
        <v>57</v>
      </c>
      <c r="AF13" s="48" t="s">
        <v>58</v>
      </c>
      <c r="AG13" s="49" t="s">
        <v>59</v>
      </c>
      <c r="AH13" s="50" t="str">
        <f>IF(TIPOORCAMENTO="LICITADO","Valor BDI Edital","Valor BDI")</f>
        <v>Valor BDI</v>
      </c>
      <c r="AJ13" s="51" t="s">
        <v>20</v>
      </c>
      <c r="AL13" s="51" t="s">
        <v>51</v>
      </c>
      <c r="AM13" s="49" t="s">
        <v>60</v>
      </c>
      <c r="AN13" s="52" t="s">
        <v>61</v>
      </c>
    </row>
    <row r="14" spans="1:40" ht="15" hidden="1">
      <c r="A14" t="str">
        <f>CHOOSE(1+LOG(1+2*(ORÇAMENTO.Nivel="Meta")+4*(ORÇAMENTO.Nivel="Nível 2")+8*(ORÇAMENTO.Nivel="Nível 3")+16*(ORÇAMENTO.Nivel="Nível 4")+32*(ORÇAMENTO.Nivel="Serviço"),2),0,1,2,3,4,"S")</f>
        <v>S</v>
      </c>
      <c r="B14" t="str">
        <f ca="1">IF(OR(C14="s",C14=0),OFFSET(B14,-1,0),C14)</f>
        <v>Save Nivel</v>
      </c>
      <c r="C14" t="str">
        <f ca="1">IF(OFFSET(C14,-1,0)="L",1,IF(OFFSET(C14,-1,0)=1,2,IF(OR(A14="s",A14=0),"S",IF(AND(OFFSET(C14,-1,0)=2,A14=4),3,IF(AND(OR(OFFSET(C14,-1,0)="s",OFFSET(C14,-1,0)=0),A14&lt;&gt;"s",A14&gt;OFFSET(B14,-1,0)),OFFSET(B14,-1,0),A14)))))</f>
        <v>S</v>
      </c>
      <c r="D14">
        <f>IF(OR(C14="S",C14=0),0,IF(ISERROR(K14),J14,SMALL(J14:K14,1)))</f>
        <v>0</v>
      </c>
      <c r="E14" t="str">
        <f ca="1">IF($C14=1,OFFSET(E14,-1,0)+MAX(1,COUNTIF('[1]QCI'!$A$13:$A$24,OFFSET('[1]ORÇAMENTO'!E14,-1,0))),OFFSET(E14,-1,0))</f>
        <v>n1</v>
      </c>
      <c r="F14" t="str">
        <f ca="1">IF($C14=1,0,IF($C14=2,OFFSET(F14,-1,0)+1,OFFSET(F14,-1,0)))</f>
        <v>n2</v>
      </c>
      <c r="G14" t="str">
        <f ca="1">IF(AND($C14&lt;=2,$C14&lt;&gt;0),0,IF($C14=3,OFFSET(G14,-1,0)+1,OFFSET(G14,-1,0)))</f>
        <v>n3</v>
      </c>
      <c r="H14" t="str">
        <f ca="1">IF(AND($C14&lt;=3,$C14&lt;&gt;0),0,IF($C14=4,OFFSET(H14,-1,0)+1,OFFSET(H14,-1,0)))</f>
        <v>n4</v>
      </c>
      <c r="I14" t="e">
        <f ca="1">IF(AND($C14&lt;=4,$C14&lt;&gt;0),0,IF(AND($C14="S",$X14&gt;0),OFFSET(I14,-1,0)+1,OFFSET(I14,-1,0)))</f>
        <v>#VALUE!</v>
      </c>
      <c r="J14">
        <f ca="1">IF(OR($C14="S",$C14=0),0,MATCH(0,OFFSET($D14,1,$C14,ROW($C$223)-ROW($C14)),0))</f>
        <v>0</v>
      </c>
      <c r="K14">
        <f ca="1">IF(OR($C14="S",$C14=0),0,MATCH(OFFSET($D14,0,$C14)+IF($C14&lt;&gt;1,1,COUNTIF('[1]QCI'!$A$13:$A$24,'[1]ORÇAMENTO'!E14)),OFFSET($D14,1,$C14,ROW($C$223)-ROW($C14)),0))</f>
        <v>0</v>
      </c>
      <c r="L14" s="53" t="e">
        <f>IF(OR($X14&gt;0,$C14=1,$C14=2,$C14=3,$C14=4),"F","")</f>
        <v>#VALUE!</v>
      </c>
      <c r="M14" s="54" t="s">
        <v>7</v>
      </c>
      <c r="N14" s="55" t="str">
        <f>CHOOSE(1+LOG(1+2*(C14=1)+4*(C14=2)+8*(C14=3)+16*(C14=4)+32*(C14="S"),2),"","Meta","Nível 2","Nível 3","Nível 4","Serviço")</f>
        <v>Serviço</v>
      </c>
      <c r="O14" s="56" t="e">
        <f>IF(OR($C14=0,$L14=""),"-",CONCATENATE(E14&amp;".",IF(AND($A$5&gt;=2,$C14&gt;=2),F14&amp;".",""),IF(AND($A$5&gt;=3,$C14&gt;=3),G14&amp;".",""),IF(AND($A$5&gt;=4,$C14&gt;=4),H14&amp;".",""),IF($C14="S",I14&amp;".","")))</f>
        <v>#VALUE!</v>
      </c>
      <c r="P14" s="57" t="s">
        <v>62</v>
      </c>
      <c r="Q14" s="58"/>
      <c r="R14" s="59" t="e">
        <f>IF($C14="S",REFERENCIA.Descricao,"(digite a descrição aqui)")</f>
        <v>#VALUE!</v>
      </c>
      <c r="S14" s="60" t="str">
        <f>REFERENCIA.Unidade</f>
        <v>-</v>
      </c>
      <c r="T14" s="61" t="e">
        <f ca="1">OFFSET('[1]CÁLCULO'!H$15,ROW($T14)-ROW(T$15),0)</f>
        <v>#VALUE!</v>
      </c>
      <c r="U14" s="62"/>
      <c r="V14" s="63" t="s">
        <v>10</v>
      </c>
      <c r="W14" s="61">
        <f>IF($C14="S",ROUND(IF(TIPOORCAMENTO="Proposto",ORÇAMENTO.CustoUnitario*(1+$AH14),ORÇAMENTO.PrecoUnitarioLicitado),15-13*$AF$10),0)</f>
        <v>0</v>
      </c>
      <c r="X14" s="64" t="e">
        <f>IF($C14="S",VTOTAL1,IF($C14=0,0,ROUND(SomaAgrup,15-13*$AF$11)))</f>
        <v>#VALUE!</v>
      </c>
      <c r="Y14" s="65" t="s">
        <v>63</v>
      </c>
      <c r="Z14" t="e">
        <f>IF(AND($C14="S",$X14&gt;0),IF(ISBLANK($Y14),"RA",LEFT($Y14,2)),"")</f>
        <v>#VALUE!</v>
      </c>
      <c r="AA14" s="66" t="e">
        <f>IF($C14="S",IF($Z14="CP",$X14,IF($Z14="RA",(($X14)*'[1]QCI'!$AA$3),0)),SomaAgrup)</f>
        <v>#VALUE!</v>
      </c>
      <c r="AB14" s="67" t="e">
        <f>IF($C14="S",IF($Z14="OU",ROUND($X14,2),0),SomaAgrup)</f>
        <v>#VALUE!</v>
      </c>
      <c r="AC14" s="68" t="e">
        <f>IF($N14="","",IF(ORÇAMENTO.Descricao="","DESCRIÇÃO",IF(AND($C14="S",ORÇAMENTO.Unidade=""),"UNIDADE",IF($X14&lt;0,"VALOR NEGATIVO",IF(OR(AND(TIPOORCAMENTO="Proposto",$AG14&lt;&gt;"",$AG14&gt;0,ORÇAMENTO.CustoUnitario&gt;$AG14),AND(TIPOORCAMENTO="LICITADO",ORÇAMENTO.PrecoUnitarioLicitado&gt;$AN14)),"ACIMA REF.","")))))</f>
        <v>#VALUE!</v>
      </c>
      <c r="AD14" s="8">
        <f ca="1">IF(C14&lt;=CRONO.NivelExibicao,MAX($AD$15:OFFSET(AD14,-1,0))+IF($C14&lt;&gt;1,1,MAX(1,COUNTIF('[1]QCI'!$A$13:$A$24,OFFSET($E14,-1,0)))),"")</f>
      </c>
      <c r="AE14" s="18" t="b">
        <f>IF(AND($C14="S",ORÇAMENTO.CodBarra&lt;&gt;""),IF(ORÇAMENTO.Fonte="",ORÇAMENTO.CodBarra,CONCATENATE(ORÇAMENTO.Fonte," ",ORÇAMENTO.CodBarra)))</f>
        <v>0</v>
      </c>
      <c r="AF14" s="69" t="e">
        <f ca="1">IF(ISERROR(INDIRECT(ORÇAMENTO.BancoRef)),"(abra o arquivo 'Referência "&amp;Excel_BuiltIn_Database&amp;".xls)",IF(OR($C14&lt;&gt;"S",ORÇAMENTO.CodBarra=""),"(Sem Código)",IF(ISERROR(MATCH($AE14,INDIRECT(ORÇAMENTO.BancoRef),0)),"(Código não identificado nas referências)",MATCH($AE14,INDIRECT(ORÇAMENTO.BancoRef),0))))</f>
        <v>#VALUE!</v>
      </c>
      <c r="AG14" s="70" t="e">
        <f>ROUND(IF(DESONERACAO="sim",REFERENCIA.Desonerado,REFERENCIA.NaoDesonerado),2)</f>
        <v>#VALUE!</v>
      </c>
      <c r="AH14" s="71">
        <f>ROUND(IF(ISNUMBER(ORÇAMENTO.OpcaoBDI),ORÇAMENTO.OpcaoBDI,IF(LEFT(ORÇAMENTO.OpcaoBDI,3)="BDI",HLOOKUP(ORÇAMENTO.OpcaoBDI,$F$4:$H$5,2,FALSE),0)),15-11*$AF$9)</f>
        <v>0.2282</v>
      </c>
      <c r="AJ14" s="72"/>
      <c r="AL14" s="73"/>
      <c r="AM14" s="74" t="e">
        <f aca="true" t="shared" si="0" ref="AM14:AM200">$X14</f>
        <v>#VALUE!</v>
      </c>
      <c r="AN14" s="75">
        <f>ROUND(ORÇAMENTO.CustoUnitario*(1+$AH14),2)</f>
        <v>0</v>
      </c>
    </row>
    <row r="15" spans="1:40" ht="15">
      <c r="A15">
        <v>0</v>
      </c>
      <c r="C15" t="s">
        <v>64</v>
      </c>
      <c r="D15">
        <f ca="1">COUNTA(OFFSET(D15,1,0):D$223)</f>
        <v>207</v>
      </c>
      <c r="E15">
        <v>0</v>
      </c>
      <c r="L15" s="53" t="s">
        <v>65</v>
      </c>
      <c r="M15" s="76" t="str">
        <f>IF(TIPOORCAMENTO="LICITADO","CTEF","LOTE")</f>
        <v>LOTE</v>
      </c>
      <c r="N15" s="76" t="str">
        <f>IF(TIPOORCAMENTO="LICITADO","CTEF","LOTE")</f>
        <v>LOTE</v>
      </c>
      <c r="O15" s="137">
        <v>0</v>
      </c>
      <c r="P15" s="137"/>
      <c r="Q15" s="137"/>
      <c r="R15" s="137"/>
      <c r="S15" s="77"/>
      <c r="T15" s="78"/>
      <c r="U15" s="78"/>
      <c r="V15" s="79"/>
      <c r="W15" s="78"/>
      <c r="X15" s="80">
        <f>ROUND(SUM(X16,X28,X33,X37,X44,X50,X54,X62,X66,X70,X74,X93,X112,X117,X135,X149,X157,X165,X172,X177,X182,X187,X192,X196,X209,X219),2)</f>
        <v>4</v>
      </c>
      <c r="Y15" s="18"/>
      <c r="Z15">
        <f>IF(AND($C15="S",$X15&gt;0),LEFT($Y15,2),"")</f>
      </c>
      <c r="AA15" s="81">
        <f ca="1">SUMIF(OFFSET($C15,1,0,ROW(AA223)-ROW(AA15)-1),"S",OFFSET(AA15,1,0,ROW(AA223)-ROW(AA15)-1))</f>
        <v>0</v>
      </c>
      <c r="AB15" s="82">
        <f ca="1">SUMIF(OFFSET($C15,1,0,ROW(AB223)-ROW(AB15)-1),"S",OFFSET(AB15,1,0,ROW(AB223)-ROW(AB15)-1))</f>
        <v>0</v>
      </c>
      <c r="AC15" s="83"/>
      <c r="AD15" s="8"/>
      <c r="AE15" s="8"/>
      <c r="AF15" s="8"/>
      <c r="AG15" s="84"/>
      <c r="AH15" s="85"/>
      <c r="AJ15" s="86"/>
      <c r="AL15" s="87"/>
      <c r="AM15" s="88">
        <f t="shared" si="0"/>
        <v>4</v>
      </c>
      <c r="AN15" s="89"/>
    </row>
    <row r="16" spans="1:40" ht="15">
      <c r="A16">
        <f aca="true" t="shared" si="1" ref="A16:A27">CHOOSE(1+LOG(1+2*(ORÇAMENTO.Nivel="Meta")+4*(ORÇAMENTO.Nivel="Nível 2")+8*(ORÇAMENTO.Nivel="Nível 3")+16*(ORÇAMENTO.Nivel="Nível 4")+32*(ORÇAMENTO.Nivel="Serviço"),2),0,1,2,3,4,"S")</f>
        <v>1</v>
      </c>
      <c r="B16">
        <f aca="true" ca="1" t="shared" si="2" ref="B16:B199">IF(OR(C16="s",C16=0),OFFSET(B16,-1,0),C16)</f>
        <v>1</v>
      </c>
      <c r="C16">
        <f aca="true" ca="1" t="shared" si="3" ref="C16:C199">IF(OFFSET(C16,-1,0)="L",1,IF(OFFSET(C16,-1,0)=1,2,IF(OR(A16="s",A16=0),"S",IF(AND(OFFSET(C16,-1,0)=2,A16=4),3,IF(AND(OR(OFFSET(C16,-1,0)="s",OFFSET(C16,-1,0)=0),A16&lt;&gt;"s",A16&gt;OFFSET(B16,-1,0)),OFFSET(B16,-1,0),A16)))))</f>
        <v>1</v>
      </c>
      <c r="D16">
        <f aca="true" t="shared" si="4" ref="D16:D199">IF(OR(C16="S",C16=0),0,IF(ISERROR(K16),J16,SMALL(J16:K16,1)))</f>
        <v>207</v>
      </c>
      <c r="E16" t="e">
        <f ca="1">IF($C16=1,OFFSET(E16,-1,0)+MAX(1,COUNTIF('[1]QCI'!$A$13:$A$24,OFFSET('[1]ORÇAMENTO'!E16,-1,0))),OFFSET(E16,-1,0))</f>
        <v>#VALUE!</v>
      </c>
      <c r="F16">
        <f aca="true" ca="1" t="shared" si="5" ref="F16:F199">IF($C16=1,0,IF($C16=2,OFFSET(F16,-1,0)+1,OFFSET(F16,-1,0)))</f>
        <v>0</v>
      </c>
      <c r="G16">
        <f aca="true" ca="1" t="shared" si="6" ref="G16:G199">IF(AND($C16&lt;=2,$C16&lt;&gt;0),0,IF($C16=3,OFFSET(G16,-1,0)+1,OFFSET(G16,-1,0)))</f>
        <v>0</v>
      </c>
      <c r="H16">
        <f aca="true" ca="1" t="shared" si="7" ref="H16:H199">IF(AND($C16&lt;=3,$C16&lt;&gt;0),0,IF($C16=4,OFFSET(H16,-1,0)+1,OFFSET(H16,-1,0)))</f>
        <v>0</v>
      </c>
      <c r="I16">
        <f aca="true" ca="1" t="shared" si="8" ref="I16:I199">IF(AND($C16&lt;=4,$C16&lt;&gt;0),0,IF(AND($C16="S",$X16&gt;0),OFFSET(I16,-1,0)+1,OFFSET(I16,-1,0)))</f>
        <v>0</v>
      </c>
      <c r="J16">
        <f aca="true" ca="1" t="shared" si="9" ref="J16:J47">IF(OR($C16="S",$C16=0),0,MATCH(0,OFFSET($D16,1,$C16,ROW($C$223)-ROW($C16)),0))</f>
        <v>207</v>
      </c>
      <c r="K16" t="e">
        <f ca="1">IF(OR($C16="S",$C16=0),0,MATCH(OFFSET($D16,0,$C16)+IF($C16&lt;&gt;1,1,COUNTIF('[1]QCI'!$A$13:$A$24,'[1]ORÇAMENTO'!E16)),OFFSET($D16,1,$C16,ROW($C$223)-ROW($C16)),0))</f>
        <v>#VALUE!</v>
      </c>
      <c r="L16" s="53" t="str">
        <f aca="true" t="shared" si="10" ref="L16:L199">IF(OR($X16&gt;0,$C16=1,$C16=2,$C16=3,$C16=4),"F","")</f>
        <v>F</v>
      </c>
      <c r="M16" s="54" t="s">
        <v>3</v>
      </c>
      <c r="N16" s="55" t="str">
        <f aca="true" t="shared" si="11" ref="N16:N199">CHOOSE(1+LOG(1+2*(C16=1)+4*(C16=2)+8*(C16=3)+16*(C16=4)+32*(C16="S"),2),"","Meta","Nível 2","Nível 3","Nível 4","Serviço")</f>
        <v>Meta</v>
      </c>
      <c r="O16" s="56" t="s">
        <v>249</v>
      </c>
      <c r="P16" s="57" t="s">
        <v>62</v>
      </c>
      <c r="Q16" s="58"/>
      <c r="R16" s="59" t="s">
        <v>66</v>
      </c>
      <c r="S16" s="60" t="str">
        <f>REFERENCIA.Unidade</f>
        <v>-</v>
      </c>
      <c r="T16" s="61" t="e">
        <f ca="1">OFFSET('[1]CÁLCULO'!H$15,ROW($T16)-ROW(T$15),0)</f>
        <v>#VALUE!</v>
      </c>
      <c r="U16" s="62"/>
      <c r="V16" s="63" t="s">
        <v>10</v>
      </c>
      <c r="W16" s="61">
        <f aca="true" t="shared" si="12" ref="W16:W27">IF($C16="S",ROUND(IF(TIPOORCAMENTO="Proposto",ORÇAMENTO.CustoUnitario*(1+$AH16),ORÇAMENTO.PrecoUnitarioLicitado),15-13*$AF$10),0)</f>
        <v>0</v>
      </c>
      <c r="X16" s="64">
        <f>ROUND(SUM(X20,X17),2)</f>
        <v>0</v>
      </c>
      <c r="Y16" s="65" t="s">
        <v>63</v>
      </c>
      <c r="Z16">
        <f aca="true" t="shared" si="13" ref="Z16:Z199">IF(AND($C16="S",$X16&gt;0),IF(ISBLANK($Y16),"RA",LEFT($Y16,2)),"")</f>
      </c>
      <c r="AA16" s="66">
        <f>IF($C16="S",IF($Z16="CP",$X16,IF($Z16="RA",(($X16)*'[1]QCI'!$AA$3),0)),SomaAgrup)</f>
        <v>0</v>
      </c>
      <c r="AB16" s="67">
        <f aca="true" t="shared" si="14" ref="AB16:AB27">IF($C16="S",IF($Z16="OU",ROUND($X16,2),0),SomaAgrup)</f>
        <v>0</v>
      </c>
      <c r="AC16" s="68" t="e">
        <f aca="true" t="shared" si="15" ref="AC16:AC27">IF($N16="","",IF(ORÇAMENTO.Descricao="","DESCRIÇÃO",IF(AND($C16="S",ORÇAMENTO.Unidade=""),"UNIDADE",IF($X16&lt;0,"VALOR NEGATIVO",IF(OR(AND(TIPOORCAMENTO="Proposto",$AG16&lt;&gt;"",$AG16&gt;0,ORÇAMENTO.CustoUnitario&gt;$AG16),AND(TIPOORCAMENTO="LICITADO",ORÇAMENTO.PrecoUnitarioLicitado&gt;$AN16)),"ACIMA REF.","")))))</f>
        <v>#VALUE!</v>
      </c>
      <c r="AD16" s="8" t="e">
        <f ca="1">IF(C16&lt;=CRONO.NivelExibicao,MAX($AD$15:OFFSET(AD16,-1,0))+IF($C16&lt;&gt;1,1,MAX(1,COUNTIF('[1]QCI'!$A$13:$A$24,OFFSET($E16,-1,0)))),"")</f>
        <v>#VALUE!</v>
      </c>
      <c r="AE16" s="18" t="b">
        <f aca="true" t="shared" si="16" ref="AE16:AE27">IF(AND($C16="S",ORÇAMENTO.CodBarra&lt;&gt;""),IF(ORÇAMENTO.Fonte="",ORÇAMENTO.CodBarra,CONCATENATE(ORÇAMENTO.Fonte," ",ORÇAMENTO.CodBarra)))</f>
        <v>0</v>
      </c>
      <c r="AF16" s="69" t="e">
        <f aca="true" ca="1" t="shared" si="17" ref="AF16:AF27">IF(ISERROR(INDIRECT(ORÇAMENTO.BancoRef)),"(abra o arquivo 'Referência "&amp;Excel_BuiltIn_Database&amp;".xls)",IF(OR($C16&lt;&gt;"S",ORÇAMENTO.CodBarra=""),"(Sem Código)",IF(ISERROR(MATCH($AE16,INDIRECT(ORÇAMENTO.BancoRef),0)),"(Código não identificado nas referências)",MATCH($AE16,INDIRECT(ORÇAMENTO.BancoRef),0))))</f>
        <v>#VALUE!</v>
      </c>
      <c r="AG16" s="70" t="e">
        <f>ROUND(IF(DESONERACAO="sim",REFERENCIA.Desonerado,REFERENCIA.NaoDesonerado),2)</f>
        <v>#VALUE!</v>
      </c>
      <c r="AH16" s="71">
        <f aca="true" t="shared" si="18" ref="AH16:AH27">ROUND(IF(ISNUMBER(ORÇAMENTO.OpcaoBDI),ORÇAMENTO.OpcaoBDI,IF(LEFT(ORÇAMENTO.OpcaoBDI,3)="BDI",HLOOKUP(ORÇAMENTO.OpcaoBDI,$F$4:$H$5,2,FALSE),0)),15-11*$AF$9)</f>
        <v>0.2282</v>
      </c>
      <c r="AJ16" s="72"/>
      <c r="AL16" s="73"/>
      <c r="AM16" s="74">
        <f t="shared" si="0"/>
        <v>0</v>
      </c>
      <c r="AN16" s="75">
        <f aca="true" t="shared" si="19" ref="AN16:AN27">ROUND(ORÇAMENTO.CustoUnitario*(1+$AH16),2)</f>
        <v>0</v>
      </c>
    </row>
    <row r="17" spans="1:40" ht="15">
      <c r="A17">
        <f t="shared" si="1"/>
        <v>2</v>
      </c>
      <c r="B17">
        <f ca="1">IF(OR(C17="s",C17=0),OFFSET(B17,-1,0),C17)</f>
        <v>2</v>
      </c>
      <c r="C17">
        <f ca="1">IF(OFFSET(C17,-1,0)="L",1,IF(OFFSET(C17,-1,0)=1,2,IF(OR(A17="s",A17=0),"S",IF(AND(OFFSET(C17,-1,0)=2,A17=4),3,IF(AND(OR(OFFSET(C17,-1,0)="s",OFFSET(C17,-1,0)=0),A17&lt;&gt;"s",A17&gt;OFFSET(B17,-1,0)),OFFSET(B17,-1,0),A17)))))</f>
        <v>2</v>
      </c>
      <c r="D17">
        <f>IF(OR(C17="S",C17=0),0,IF(ISERROR(K17),J17,SMALL(J17:K17,1)))</f>
        <v>3</v>
      </c>
      <c r="E17" t="e">
        <f ca="1">IF($C17=1,OFFSET(E17,-1,0)+MAX(1,COUNTIF('[1]QCI'!$A$13:$A$24,OFFSET('[1]ORÇAMENTO'!E14,-1,0))),OFFSET(E17,-1,0))</f>
        <v>#VALUE!</v>
      </c>
      <c r="F17">
        <f ca="1" t="shared" si="5"/>
        <v>1</v>
      </c>
      <c r="G17">
        <f ca="1" t="shared" si="6"/>
        <v>0</v>
      </c>
      <c r="H17">
        <f ca="1" t="shared" si="7"/>
        <v>0</v>
      </c>
      <c r="I17">
        <f ca="1" t="shared" si="8"/>
        <v>0</v>
      </c>
      <c r="J17">
        <f ca="1" t="shared" si="9"/>
        <v>11</v>
      </c>
      <c r="K17">
        <f ca="1">IF(OR($C17="S",$C17=0),0,MATCH(OFFSET($D17,0,$C17)+IF($C17&lt;&gt;1,1,COUNTIF('[1]QCI'!$A$13:$A$24,'[1]ORÇAMENTO'!E14)),OFFSET($D17,1,$C17,ROW($C$223)-ROW($C17)),0))</f>
        <v>3</v>
      </c>
      <c r="L17" s="53" t="str">
        <f t="shared" si="10"/>
        <v>F</v>
      </c>
      <c r="M17" s="54" t="s">
        <v>4</v>
      </c>
      <c r="N17" s="55" t="str">
        <f>CHOOSE(1+LOG(1+2*(C17=1)+4*(C17=2)+8*(C17=3)+16*(C17=4)+32*(C17="S"),2),"","Meta","Nível 2","Nível 3","Nível 4","Serviço")</f>
        <v>Nível 2</v>
      </c>
      <c r="O17" s="56" t="s">
        <v>250</v>
      </c>
      <c r="P17" s="57" t="s">
        <v>62</v>
      </c>
      <c r="Q17" s="58"/>
      <c r="R17" s="59" t="s">
        <v>450</v>
      </c>
      <c r="S17" s="60" t="str">
        <f>REFERENCIA.Unidade</f>
        <v>-</v>
      </c>
      <c r="T17" s="61" t="e">
        <f ca="1">OFFSET('[1]CÁLCULO'!H$15,ROW($T17)-ROW(T$15),0)</f>
        <v>#VALUE!</v>
      </c>
      <c r="U17" s="62"/>
      <c r="V17" s="63" t="s">
        <v>10</v>
      </c>
      <c r="W17" s="61">
        <f t="shared" si="12"/>
        <v>0</v>
      </c>
      <c r="X17" s="64">
        <f>ROUND(SUM(X18:X19),2)</f>
        <v>0</v>
      </c>
      <c r="Y17" s="65" t="s">
        <v>63</v>
      </c>
      <c r="Z17">
        <f t="shared" si="13"/>
      </c>
      <c r="AA17" s="66">
        <f>IF($C17="S",IF($Z17="CP",$X17,IF($Z17="RA",(($X17)*'[1]QCI'!$AA$3),0)),SomaAgrup)</f>
        <v>0</v>
      </c>
      <c r="AB17" s="67">
        <f t="shared" si="14"/>
        <v>0</v>
      </c>
      <c r="AC17" s="68"/>
      <c r="AD17" s="8" t="e">
        <f ca="1">IF(C17&lt;=CRONO.NivelExibicao,MAX($AD$15:OFFSET(AD17,-1,0))+IF($C17&lt;&gt;1,1,MAX(1,COUNTIF('[1]QCI'!$A$13:$A$24,OFFSET($E17,-1,0)))),"")</f>
        <v>#VALUE!</v>
      </c>
      <c r="AE17" s="18" t="b">
        <f t="shared" si="16"/>
        <v>0</v>
      </c>
      <c r="AF17" s="69" t="e">
        <f ca="1" t="shared" si="17"/>
        <v>#VALUE!</v>
      </c>
      <c r="AG17" s="70" t="e">
        <f>ROUND(IF(DESONERACAO="sim",REFERENCIA.Desonerado,REFERENCIA.NaoDesonerado),2)</f>
        <v>#VALUE!</v>
      </c>
      <c r="AH17" s="71">
        <f t="shared" si="18"/>
        <v>0.2282</v>
      </c>
      <c r="AJ17" s="72"/>
      <c r="AL17" s="73"/>
      <c r="AM17" s="74">
        <f t="shared" si="0"/>
        <v>0</v>
      </c>
      <c r="AN17" s="75">
        <f t="shared" si="19"/>
        <v>0</v>
      </c>
    </row>
    <row r="18" spans="1:40" ht="30">
      <c r="A18" t="str">
        <f t="shared" si="1"/>
        <v>S</v>
      </c>
      <c r="B18">
        <f ca="1">IF(OR(C18="s",C18=0),OFFSET(B18,-1,0),C18)</f>
        <v>2</v>
      </c>
      <c r="C18" t="str">
        <f ca="1">IF(OFFSET(C18,-1,0)="L",1,IF(OFFSET(C18,-1,0)=1,2,IF(OR(A18="s",A18=0),"S",IF(AND(OFFSET(C18,-1,0)=2,A18=4),3,IF(AND(OR(OFFSET(C18,-1,0)="s",OFFSET(C18,-1,0)=0),A18&lt;&gt;"s",A18&gt;OFFSET(B18,-1,0)),OFFSET(B18,-1,0),A18)))))</f>
        <v>S</v>
      </c>
      <c r="D18">
        <f>IF(OR(C18="S",C18=0),0,IF(ISERROR(K18),J18,SMALL(J18:K18,1)))</f>
        <v>0</v>
      </c>
      <c r="E18" t="e">
        <f ca="1">IF($C18=1,OFFSET(E18,-1,0)+MAX(1,COUNTIF('[1]QCI'!$A$13:$A$24,OFFSET('[1]ORÇAMENTO'!E15,-1,0))),OFFSET(E18,-1,0))</f>
        <v>#VALUE!</v>
      </c>
      <c r="F18">
        <f ca="1" t="shared" si="5"/>
        <v>1</v>
      </c>
      <c r="G18">
        <f ca="1" t="shared" si="6"/>
        <v>0</v>
      </c>
      <c r="H18">
        <f ca="1" t="shared" si="7"/>
        <v>0</v>
      </c>
      <c r="I18">
        <f ca="1" t="shared" si="8"/>
        <v>0</v>
      </c>
      <c r="J18">
        <f ca="1" t="shared" si="9"/>
        <v>0</v>
      </c>
      <c r="K18">
        <f ca="1">IF(OR($C18="S",$C18=0),0,MATCH(OFFSET($D18,0,$C18)+IF($C18&lt;&gt;1,1,COUNTIF('[1]QCI'!$A$13:$A$24,'[1]ORÇAMENTO'!E15)),OFFSET($D18,1,$C18,ROW($C$223)-ROW($C18)),0))</f>
        <v>0</v>
      </c>
      <c r="L18" s="53">
        <f t="shared" si="10"/>
      </c>
      <c r="M18" s="54" t="s">
        <v>7</v>
      </c>
      <c r="N18" s="55" t="str">
        <f>CHOOSE(1+LOG(1+2*(C18=1)+4*(C18=2)+8*(C18=3)+16*(C18=4)+32*(C18="S"),2),"","Meta","Nível 2","Nível 3","Nível 4","Serviço")</f>
        <v>Serviço</v>
      </c>
      <c r="O18" s="56" t="s">
        <v>251</v>
      </c>
      <c r="P18" s="57" t="s">
        <v>70</v>
      </c>
      <c r="Q18" s="58" t="s">
        <v>451</v>
      </c>
      <c r="R18" s="59" t="s">
        <v>452</v>
      </c>
      <c r="S18" s="60" t="s">
        <v>141</v>
      </c>
      <c r="T18" s="61">
        <v>3</v>
      </c>
      <c r="U18" s="62"/>
      <c r="V18" s="63" t="s">
        <v>10</v>
      </c>
      <c r="W18" s="61">
        <f t="shared" si="12"/>
        <v>0</v>
      </c>
      <c r="X18" s="64">
        <f>IF($C18="S",VTOTAL1,IF($C18=0,0,ROUND(SomaAgrup,15-13*$AF$11)))</f>
        <v>0</v>
      </c>
      <c r="Y18" s="65" t="s">
        <v>63</v>
      </c>
      <c r="Z18">
        <f t="shared" si="13"/>
      </c>
      <c r="AA18" s="66">
        <f>IF($C18="S",IF($Z18="CP",$X18,IF($Z18="RA",(($X18)*'[1]QCI'!$AA$3),0)),SomaAgrup)</f>
        <v>0</v>
      </c>
      <c r="AB18" s="67">
        <f t="shared" si="14"/>
        <v>0</v>
      </c>
      <c r="AC18" s="68">
        <f t="shared" si="15"/>
      </c>
      <c r="AD18" s="8">
        <f ca="1">IF(C18&lt;=CRONO.NivelExibicao,MAX($AD$15:OFFSET(AD18,-1,0))+IF($C18&lt;&gt;1,1,MAX(1,COUNTIF('[1]QCI'!$A$13:$A$24,OFFSET($E18,-1,0)))),"")</f>
      </c>
      <c r="AE18" s="18" t="str">
        <f t="shared" si="16"/>
        <v>SINAPI-I 4813</v>
      </c>
      <c r="AF18" s="69" t="e">
        <f ca="1" t="shared" si="17"/>
        <v>#VALUE!</v>
      </c>
      <c r="AG18" s="70">
        <v>2.81</v>
      </c>
      <c r="AH18" s="71">
        <f t="shared" si="18"/>
        <v>0.2282</v>
      </c>
      <c r="AJ18" s="72">
        <v>34.15</v>
      </c>
      <c r="AL18" s="73"/>
      <c r="AM18" s="74">
        <f t="shared" si="0"/>
        <v>0</v>
      </c>
      <c r="AN18" s="75">
        <f t="shared" si="19"/>
        <v>0</v>
      </c>
    </row>
    <row r="19" spans="1:40" ht="15">
      <c r="A19" t="str">
        <f t="shared" si="1"/>
        <v>S</v>
      </c>
      <c r="B19">
        <f ca="1">IF(OR(C19="s",C19=0),OFFSET(B19,-1,0),C19)</f>
        <v>2</v>
      </c>
      <c r="C19" t="str">
        <f ca="1">IF(OFFSET(C19,-1,0)="L",1,IF(OFFSET(C19,-1,0)=1,2,IF(OR(A19="s",A19=0),"S",IF(AND(OFFSET(C19,-1,0)=2,A19=4),3,IF(AND(OR(OFFSET(C19,-1,0)="s",OFFSET(C19,-1,0)=0),A19&lt;&gt;"s",A19&gt;OFFSET(B19,-1,0)),OFFSET(B19,-1,0),A19)))))</f>
        <v>S</v>
      </c>
      <c r="D19">
        <f>IF(OR(C19="S",C19=0),0,IF(ISERROR(K19),J19,SMALL(J19:K19,1)))</f>
        <v>0</v>
      </c>
      <c r="E19" t="e">
        <f ca="1">IF($C19=1,OFFSET(E19,-1,0)+MAX(1,COUNTIF('[1]QCI'!$A$13:$A$24,OFFSET('[1]ORÇAMENTO'!E16,-1,0))),OFFSET(E19,-1,0))</f>
        <v>#VALUE!</v>
      </c>
      <c r="F19">
        <f ca="1" t="shared" si="5"/>
        <v>1</v>
      </c>
      <c r="G19">
        <f ca="1" t="shared" si="6"/>
        <v>0</v>
      </c>
      <c r="H19">
        <f ca="1" t="shared" si="7"/>
        <v>0</v>
      </c>
      <c r="I19">
        <f ca="1" t="shared" si="8"/>
        <v>0</v>
      </c>
      <c r="J19">
        <f ca="1" t="shared" si="9"/>
        <v>0</v>
      </c>
      <c r="K19">
        <f ca="1">IF(OR($C19="S",$C19=0),0,MATCH(OFFSET($D19,0,$C19)+IF($C19&lt;&gt;1,1,COUNTIF('[1]QCI'!$A$13:$A$24,'[1]ORÇAMENTO'!E16)),OFFSET($D19,1,$C19,ROW($C$223)-ROW($C19)),0))</f>
        <v>0</v>
      </c>
      <c r="L19" s="53">
        <f t="shared" si="10"/>
      </c>
      <c r="M19" s="54" t="s">
        <v>7</v>
      </c>
      <c r="N19" s="55" t="str">
        <f>CHOOSE(1+LOG(1+2*(C19=1)+4*(C19=2)+8*(C19=3)+16*(C19=4)+32*(C19="S"),2),"","Meta","Nível 2","Nível 3","Nível 4","Serviço")</f>
        <v>Serviço</v>
      </c>
      <c r="O19" s="56" t="s">
        <v>251</v>
      </c>
      <c r="P19" s="57" t="s">
        <v>473</v>
      </c>
      <c r="Q19" s="58" t="s">
        <v>99</v>
      </c>
      <c r="R19" s="59" t="s">
        <v>480</v>
      </c>
      <c r="S19" s="60" t="s">
        <v>142</v>
      </c>
      <c r="T19" s="61">
        <v>10</v>
      </c>
      <c r="U19" s="62"/>
      <c r="V19" s="63" t="s">
        <v>10</v>
      </c>
      <c r="W19" s="61">
        <f t="shared" si="12"/>
        <v>0</v>
      </c>
      <c r="X19" s="64">
        <f aca="true" t="shared" si="20" ref="X19:X27">IF($C19="S",VTOTAL1,IF($C19=0,0,ROUND(SomaAgrup,15-13*$AF$11)))</f>
        <v>0</v>
      </c>
      <c r="Y19" s="65" t="s">
        <v>63</v>
      </c>
      <c r="Z19">
        <f t="shared" si="13"/>
      </c>
      <c r="AA19" s="66">
        <f>IF($C19="S",IF($Z19="CP",$X19,IF($Z19="RA",(($X19)*'[1]QCI'!$AA$3),0)),SomaAgrup)</f>
        <v>0</v>
      </c>
      <c r="AB19" s="67">
        <f t="shared" si="14"/>
        <v>0</v>
      </c>
      <c r="AC19" s="68">
        <f t="shared" si="15"/>
      </c>
      <c r="AD19" s="8">
        <f ca="1">IF(C19&lt;=CRONO.NivelExibicao,MAX($AD$15:OFFSET(AD19,-1,0))+IF($C19&lt;&gt;1,1,MAX(1,COUNTIF('[1]QCI'!$A$13:$A$24,OFFSET($E19,-1,0)))),"")</f>
      </c>
      <c r="AE19" s="18" t="str">
        <f t="shared" si="16"/>
        <v>COTAÇÃO 001</v>
      </c>
      <c r="AF19" s="69" t="e">
        <f ca="1" t="shared" si="17"/>
        <v>#VALUE!</v>
      </c>
      <c r="AG19" s="70">
        <v>2.81</v>
      </c>
      <c r="AH19" s="71">
        <f t="shared" si="18"/>
        <v>0.2282</v>
      </c>
      <c r="AJ19" s="72">
        <v>34.15</v>
      </c>
      <c r="AL19" s="73"/>
      <c r="AM19" s="74">
        <f t="shared" si="0"/>
        <v>0</v>
      </c>
      <c r="AN19" s="75">
        <f t="shared" si="19"/>
        <v>0</v>
      </c>
    </row>
    <row r="20" spans="1:40" ht="15">
      <c r="A20">
        <f t="shared" si="1"/>
        <v>2</v>
      </c>
      <c r="B20">
        <f ca="1" t="shared" si="2"/>
        <v>2</v>
      </c>
      <c r="C20">
        <f ca="1" t="shared" si="3"/>
        <v>2</v>
      </c>
      <c r="D20">
        <f t="shared" si="4"/>
        <v>8</v>
      </c>
      <c r="E20" t="e">
        <f ca="1">IF($C20=1,OFFSET(E20,-1,0)+MAX(1,COUNTIF('[1]QCI'!$A$13:$A$24,OFFSET('[1]ORÇAMENTO'!E17,-1,0))),OFFSET(E20,-1,0))</f>
        <v>#VALUE!</v>
      </c>
      <c r="F20">
        <f ca="1" t="shared" si="5"/>
        <v>2</v>
      </c>
      <c r="G20">
        <f ca="1" t="shared" si="6"/>
        <v>0</v>
      </c>
      <c r="H20">
        <f ca="1" t="shared" si="7"/>
        <v>0</v>
      </c>
      <c r="I20">
        <f ca="1" t="shared" si="8"/>
        <v>0</v>
      </c>
      <c r="J20">
        <f ca="1" t="shared" si="9"/>
        <v>8</v>
      </c>
      <c r="K20">
        <f ca="1">IF(OR($C20="S",$C20=0),0,MATCH(OFFSET($D20,0,$C20)+IF($C20&lt;&gt;1,1,COUNTIF('[1]QCI'!$A$13:$A$24,'[1]ORÇAMENTO'!E17)),OFFSET($D20,1,$C20,ROW($C$223)-ROW($C20)),0))</f>
        <v>62</v>
      </c>
      <c r="L20" s="53" t="str">
        <f t="shared" si="10"/>
        <v>F</v>
      </c>
      <c r="M20" s="54" t="s">
        <v>4</v>
      </c>
      <c r="N20" s="55" t="str">
        <f t="shared" si="11"/>
        <v>Nível 2</v>
      </c>
      <c r="O20" s="56" t="s">
        <v>453</v>
      </c>
      <c r="P20" s="57" t="s">
        <v>62</v>
      </c>
      <c r="Q20" s="58"/>
      <c r="R20" s="59" t="s">
        <v>67</v>
      </c>
      <c r="S20" s="60" t="str">
        <f>REFERENCIA.Unidade</f>
        <v>-</v>
      </c>
      <c r="T20" s="61" t="e">
        <f ca="1">OFFSET('[1]CÁLCULO'!H$15,ROW($T20)-ROW(T$15),0)</f>
        <v>#VALUE!</v>
      </c>
      <c r="U20" s="62"/>
      <c r="V20" s="63" t="s">
        <v>10</v>
      </c>
      <c r="W20" s="61">
        <f t="shared" si="12"/>
        <v>0</v>
      </c>
      <c r="X20" s="64">
        <f>ROUND(SUM(X21:X27),2)</f>
        <v>0</v>
      </c>
      <c r="Y20" s="65" t="s">
        <v>63</v>
      </c>
      <c r="Z20">
        <f t="shared" si="13"/>
      </c>
      <c r="AA20" s="66">
        <f>IF($C20="S",IF($Z20="CP",$X20,IF($Z20="RA",(($X20)*'[1]QCI'!$AA$3),0)),SomaAgrup)</f>
        <v>0</v>
      </c>
      <c r="AB20" s="67">
        <f t="shared" si="14"/>
        <v>0</v>
      </c>
      <c r="AC20" s="68"/>
      <c r="AD20" s="8" t="e">
        <f ca="1">IF(C20&lt;=CRONO.NivelExibicao,MAX($AD$15:OFFSET(AD20,-1,0))+IF($C20&lt;&gt;1,1,MAX(1,COUNTIF('[1]QCI'!$A$13:$A$24,OFFSET($E20,-1,0)))),"")</f>
        <v>#VALUE!</v>
      </c>
      <c r="AE20" s="18" t="b">
        <f t="shared" si="16"/>
        <v>0</v>
      </c>
      <c r="AF20" s="69" t="e">
        <f ca="1" t="shared" si="17"/>
        <v>#VALUE!</v>
      </c>
      <c r="AG20" s="70" t="e">
        <f>ROUND(IF(DESONERACAO="sim",REFERENCIA.Desonerado,REFERENCIA.NaoDesonerado),2)</f>
        <v>#VALUE!</v>
      </c>
      <c r="AH20" s="71">
        <f t="shared" si="18"/>
        <v>0.2282</v>
      </c>
      <c r="AJ20" s="72"/>
      <c r="AL20" s="73"/>
      <c r="AM20" s="74">
        <f t="shared" si="0"/>
        <v>0</v>
      </c>
      <c r="AN20" s="75">
        <f t="shared" si="19"/>
        <v>0</v>
      </c>
    </row>
    <row r="21" spans="1:40" ht="30">
      <c r="A21" t="str">
        <f t="shared" si="1"/>
        <v>S</v>
      </c>
      <c r="B21">
        <f ca="1" t="shared" si="2"/>
        <v>2</v>
      </c>
      <c r="C21" t="str">
        <f ca="1" t="shared" si="3"/>
        <v>S</v>
      </c>
      <c r="D21">
        <f t="shared" si="4"/>
        <v>0</v>
      </c>
      <c r="E21" t="e">
        <f ca="1">IF($C21=1,OFFSET(E21,-1,0)+MAX(1,COUNTIF('[1]QCI'!$A$13:$A$24,OFFSET('[1]ORÇAMENTO'!E18,-1,0))),OFFSET(E21,-1,0))</f>
        <v>#VALUE!</v>
      </c>
      <c r="F21">
        <f ca="1" t="shared" si="5"/>
        <v>2</v>
      </c>
      <c r="G21">
        <f ca="1" t="shared" si="6"/>
        <v>0</v>
      </c>
      <c r="H21">
        <f ca="1" t="shared" si="7"/>
        <v>0</v>
      </c>
      <c r="I21">
        <f ca="1" t="shared" si="8"/>
        <v>0</v>
      </c>
      <c r="J21">
        <f ca="1" t="shared" si="9"/>
        <v>0</v>
      </c>
      <c r="K21">
        <f ca="1">IF(OR($C21="S",$C21=0),0,MATCH(OFFSET($D21,0,$C21)+IF($C21&lt;&gt;1,1,COUNTIF('[1]QCI'!$A$13:$A$24,'[1]ORÇAMENTO'!E18)),OFFSET($D21,1,$C21,ROW($C$223)-ROW($C21)),0))</f>
        <v>0</v>
      </c>
      <c r="L21" s="53">
        <f t="shared" si="10"/>
      </c>
      <c r="M21" s="54" t="s">
        <v>7</v>
      </c>
      <c r="N21" s="55" t="str">
        <f t="shared" si="11"/>
        <v>Serviço</v>
      </c>
      <c r="O21" s="56" t="s">
        <v>454</v>
      </c>
      <c r="P21" s="57" t="s">
        <v>62</v>
      </c>
      <c r="Q21" s="58" t="s">
        <v>134</v>
      </c>
      <c r="R21" s="59" t="s">
        <v>127</v>
      </c>
      <c r="S21" s="60" t="s">
        <v>141</v>
      </c>
      <c r="T21" s="61">
        <f>AJ21</f>
        <v>34.15</v>
      </c>
      <c r="U21" s="62"/>
      <c r="V21" s="63" t="s">
        <v>10</v>
      </c>
      <c r="W21" s="61">
        <f t="shared" si="12"/>
        <v>0</v>
      </c>
      <c r="X21" s="64">
        <f t="shared" si="20"/>
        <v>0</v>
      </c>
      <c r="Y21" s="65" t="s">
        <v>63</v>
      </c>
      <c r="Z21">
        <f t="shared" si="13"/>
      </c>
      <c r="AA21" s="66">
        <f>IF($C21="S",IF($Z21="CP",$X21,IF($Z21="RA",(($X21)*'[1]QCI'!$AA$3),0)),SomaAgrup)</f>
        <v>0</v>
      </c>
      <c r="AB21" s="67">
        <f t="shared" si="14"/>
        <v>0</v>
      </c>
      <c r="AC21" s="68">
        <f t="shared" si="15"/>
      </c>
      <c r="AD21" s="8">
        <f ca="1">IF(C21&lt;=CRONO.NivelExibicao,MAX($AD$15:OFFSET(AD21,-1,0))+IF($C21&lt;&gt;1,1,MAX(1,COUNTIF('[1]QCI'!$A$13:$A$24,OFFSET($E21,-1,0)))),"")</f>
      </c>
      <c r="AE21" s="18" t="str">
        <f t="shared" si="16"/>
        <v>SINAPI  97647 </v>
      </c>
      <c r="AF21" s="69" t="e">
        <f ca="1" t="shared" si="17"/>
        <v>#VALUE!</v>
      </c>
      <c r="AG21" s="70">
        <v>2.81</v>
      </c>
      <c r="AH21" s="71">
        <f t="shared" si="18"/>
        <v>0.2282</v>
      </c>
      <c r="AJ21" s="72">
        <v>34.15</v>
      </c>
      <c r="AL21" s="73"/>
      <c r="AM21" s="74">
        <f t="shared" si="0"/>
        <v>0</v>
      </c>
      <c r="AN21" s="75">
        <f t="shared" si="19"/>
        <v>0</v>
      </c>
    </row>
    <row r="22" spans="1:40" ht="30">
      <c r="A22" t="str">
        <f t="shared" si="1"/>
        <v>S</v>
      </c>
      <c r="B22">
        <f ca="1" t="shared" si="2"/>
        <v>2</v>
      </c>
      <c r="C22" t="str">
        <f ca="1" t="shared" si="3"/>
        <v>S</v>
      </c>
      <c r="D22">
        <f t="shared" si="4"/>
        <v>0</v>
      </c>
      <c r="E22" t="e">
        <f ca="1">IF($C22=1,OFFSET(E22,-1,0)+MAX(1,COUNTIF('[1]QCI'!$A$13:$A$24,OFFSET('[1]ORÇAMENTO'!E19,-1,0))),OFFSET(E22,-1,0))</f>
        <v>#VALUE!</v>
      </c>
      <c r="F22">
        <f ca="1" t="shared" si="5"/>
        <v>2</v>
      </c>
      <c r="G22">
        <f ca="1" t="shared" si="6"/>
        <v>0</v>
      </c>
      <c r="H22">
        <f ca="1" t="shared" si="7"/>
        <v>0</v>
      </c>
      <c r="I22">
        <f ca="1" t="shared" si="8"/>
        <v>0</v>
      </c>
      <c r="J22">
        <f ca="1" t="shared" si="9"/>
        <v>0</v>
      </c>
      <c r="K22">
        <f ca="1">IF(OR($C22="S",$C22=0),0,MATCH(OFFSET($D22,0,$C22)+IF($C22&lt;&gt;1,1,COUNTIF('[1]QCI'!$A$13:$A$24,'[1]ORÇAMENTO'!E19)),OFFSET($D22,1,$C22,ROW($C$223)-ROW($C22)),0))</f>
        <v>0</v>
      </c>
      <c r="L22" s="53">
        <f t="shared" si="10"/>
      </c>
      <c r="M22" s="54" t="s">
        <v>7</v>
      </c>
      <c r="N22" s="55" t="str">
        <f t="shared" si="11"/>
        <v>Serviço</v>
      </c>
      <c r="O22" s="56" t="s">
        <v>455</v>
      </c>
      <c r="P22" s="57" t="s">
        <v>62</v>
      </c>
      <c r="Q22" s="58" t="s">
        <v>135</v>
      </c>
      <c r="R22" s="59" t="s">
        <v>128</v>
      </c>
      <c r="S22" s="60" t="s">
        <v>141</v>
      </c>
      <c r="T22" s="61">
        <f aca="true" t="shared" si="21" ref="T22:T27">AJ22</f>
        <v>34.15</v>
      </c>
      <c r="U22" s="62"/>
      <c r="V22" s="63" t="s">
        <v>10</v>
      </c>
      <c r="W22" s="61">
        <f t="shared" si="12"/>
        <v>0</v>
      </c>
      <c r="X22" s="64">
        <f t="shared" si="20"/>
        <v>0</v>
      </c>
      <c r="Y22" s="65" t="s">
        <v>63</v>
      </c>
      <c r="Z22">
        <f t="shared" si="13"/>
      </c>
      <c r="AA22" s="66">
        <f>IF($C22="S",IF($Z22="CP",$X22,IF($Z22="RA",(($X22)*'[1]QCI'!$AA$3),0)),SomaAgrup)</f>
        <v>0</v>
      </c>
      <c r="AB22" s="67">
        <f t="shared" si="14"/>
        <v>0</v>
      </c>
      <c r="AC22" s="68">
        <f t="shared" si="15"/>
      </c>
      <c r="AD22" s="8">
        <f ca="1">IF(C22&lt;=CRONO.NivelExibicao,MAX($AD$15:OFFSET(AD22,-1,0))+IF($C22&lt;&gt;1,1,MAX(1,COUNTIF('[1]QCI'!$A$13:$A$24,OFFSET($E22,-1,0)))),"")</f>
      </c>
      <c r="AE22" s="18" t="str">
        <f t="shared" si="16"/>
        <v>SINAPI  97650 </v>
      </c>
      <c r="AF22" s="69" t="e">
        <f ca="1" t="shared" si="17"/>
        <v>#VALUE!</v>
      </c>
      <c r="AG22" s="70">
        <v>6.04</v>
      </c>
      <c r="AH22" s="71">
        <f t="shared" si="18"/>
        <v>0.2282</v>
      </c>
      <c r="AJ22" s="72">
        <v>34.15</v>
      </c>
      <c r="AL22" s="73"/>
      <c r="AM22" s="74">
        <f t="shared" si="0"/>
        <v>0</v>
      </c>
      <c r="AN22" s="75">
        <f t="shared" si="19"/>
        <v>0</v>
      </c>
    </row>
    <row r="23" spans="1:40" ht="30">
      <c r="A23" t="str">
        <f t="shared" si="1"/>
        <v>S</v>
      </c>
      <c r="B23">
        <f ca="1" t="shared" si="2"/>
        <v>2</v>
      </c>
      <c r="C23" t="str">
        <f ca="1" t="shared" si="3"/>
        <v>S</v>
      </c>
      <c r="D23">
        <f t="shared" si="4"/>
        <v>0</v>
      </c>
      <c r="E23" t="e">
        <f ca="1">IF($C23=1,OFFSET(E23,-1,0)+MAX(1,COUNTIF('[1]QCI'!$A$13:$A$24,OFFSET('[1]ORÇAMENTO'!E20,-1,0))),OFFSET(E23,-1,0))</f>
        <v>#VALUE!</v>
      </c>
      <c r="F23">
        <f ca="1" t="shared" si="5"/>
        <v>2</v>
      </c>
      <c r="G23">
        <f ca="1" t="shared" si="6"/>
        <v>0</v>
      </c>
      <c r="H23">
        <f ca="1" t="shared" si="7"/>
        <v>0</v>
      </c>
      <c r="I23">
        <f ca="1" t="shared" si="8"/>
        <v>0</v>
      </c>
      <c r="J23">
        <f ca="1" t="shared" si="9"/>
        <v>0</v>
      </c>
      <c r="K23">
        <f ca="1">IF(OR($C23="S",$C23=0),0,MATCH(OFFSET($D23,0,$C23)+IF($C23&lt;&gt;1,1,COUNTIF('[1]QCI'!$A$13:$A$24,'[1]ORÇAMENTO'!E20)),OFFSET($D23,1,$C23,ROW($C$223)-ROW($C23)),0))</f>
        <v>0</v>
      </c>
      <c r="L23" s="53">
        <f t="shared" si="10"/>
      </c>
      <c r="M23" s="54" t="s">
        <v>7</v>
      </c>
      <c r="N23" s="55" t="str">
        <f t="shared" si="11"/>
        <v>Serviço</v>
      </c>
      <c r="O23" s="56" t="s">
        <v>456</v>
      </c>
      <c r="P23" s="57" t="s">
        <v>62</v>
      </c>
      <c r="Q23" s="58" t="s">
        <v>136</v>
      </c>
      <c r="R23" s="59" t="s">
        <v>129</v>
      </c>
      <c r="S23" s="60" t="s">
        <v>142</v>
      </c>
      <c r="T23" s="61">
        <f t="shared" si="21"/>
        <v>1</v>
      </c>
      <c r="U23" s="62"/>
      <c r="V23" s="63" t="s">
        <v>10</v>
      </c>
      <c r="W23" s="61">
        <f t="shared" si="12"/>
        <v>0</v>
      </c>
      <c r="X23" s="64">
        <f t="shared" si="20"/>
        <v>0</v>
      </c>
      <c r="Y23" s="65" t="s">
        <v>63</v>
      </c>
      <c r="Z23">
        <f t="shared" si="13"/>
      </c>
      <c r="AA23" s="66">
        <f>IF($C23="S",IF($Z23="CP",$X23,IF($Z23="RA",(($X23)*'[1]QCI'!$AA$3),0)),SomaAgrup)</f>
        <v>0</v>
      </c>
      <c r="AB23" s="67">
        <f t="shared" si="14"/>
        <v>0</v>
      </c>
      <c r="AC23" s="68">
        <f t="shared" si="15"/>
      </c>
      <c r="AD23" s="8">
        <f ca="1">IF(C23&lt;=CRONO.NivelExibicao,MAX($AD$15:OFFSET(AD23,-1,0))+IF($C23&lt;&gt;1,1,MAX(1,COUNTIF('[1]QCI'!$A$13:$A$24,OFFSET($E23,-1,0)))),"")</f>
      </c>
      <c r="AE23" s="18" t="str">
        <f t="shared" si="16"/>
        <v>SINAPI  97652 </v>
      </c>
      <c r="AF23" s="69" t="e">
        <f ca="1" t="shared" si="17"/>
        <v>#VALUE!</v>
      </c>
      <c r="AG23" s="70">
        <v>151.74</v>
      </c>
      <c r="AH23" s="71">
        <f t="shared" si="18"/>
        <v>0.2282</v>
      </c>
      <c r="AJ23" s="72">
        <v>1</v>
      </c>
      <c r="AL23" s="73"/>
      <c r="AM23" s="74">
        <f t="shared" si="0"/>
        <v>0</v>
      </c>
      <c r="AN23" s="75">
        <f t="shared" si="19"/>
        <v>0</v>
      </c>
    </row>
    <row r="24" spans="1:40" ht="45">
      <c r="A24" t="str">
        <f t="shared" si="1"/>
        <v>S</v>
      </c>
      <c r="B24">
        <f ca="1" t="shared" si="2"/>
        <v>2</v>
      </c>
      <c r="C24" t="str">
        <f ca="1" t="shared" si="3"/>
        <v>S</v>
      </c>
      <c r="D24">
        <f t="shared" si="4"/>
        <v>0</v>
      </c>
      <c r="E24" t="e">
        <f ca="1">IF($C24=1,OFFSET(E24,-1,0)+MAX(1,COUNTIF('[1]QCI'!$A$13:$A$24,OFFSET('[1]ORÇAMENTO'!E21,-1,0))),OFFSET(E24,-1,0))</f>
        <v>#VALUE!</v>
      </c>
      <c r="F24">
        <f ca="1" t="shared" si="5"/>
        <v>2</v>
      </c>
      <c r="G24">
        <f ca="1" t="shared" si="6"/>
        <v>0</v>
      </c>
      <c r="H24">
        <f ca="1" t="shared" si="7"/>
        <v>0</v>
      </c>
      <c r="I24">
        <f ca="1" t="shared" si="8"/>
        <v>0</v>
      </c>
      <c r="J24">
        <f ca="1" t="shared" si="9"/>
        <v>0</v>
      </c>
      <c r="K24">
        <f ca="1">IF(OR($C24="S",$C24=0),0,MATCH(OFFSET($D24,0,$C24)+IF($C24&lt;&gt;1,1,COUNTIF('[1]QCI'!$A$13:$A$24,'[1]ORÇAMENTO'!E21)),OFFSET($D24,1,$C24,ROW($C$223)-ROW($C24)),0))</f>
        <v>0</v>
      </c>
      <c r="L24" s="53">
        <f t="shared" si="10"/>
      </c>
      <c r="M24" s="54" t="s">
        <v>7</v>
      </c>
      <c r="N24" s="55" t="str">
        <f t="shared" si="11"/>
        <v>Serviço</v>
      </c>
      <c r="O24" s="56" t="s">
        <v>457</v>
      </c>
      <c r="P24" s="57" t="s">
        <v>62</v>
      </c>
      <c r="Q24" s="58" t="s">
        <v>137</v>
      </c>
      <c r="R24" s="59" t="s">
        <v>130</v>
      </c>
      <c r="S24" s="60" t="s">
        <v>142</v>
      </c>
      <c r="T24" s="61">
        <f t="shared" si="21"/>
        <v>1</v>
      </c>
      <c r="U24" s="62"/>
      <c r="V24" s="63" t="s">
        <v>10</v>
      </c>
      <c r="W24" s="61">
        <f t="shared" si="12"/>
        <v>0</v>
      </c>
      <c r="X24" s="64">
        <f t="shared" si="20"/>
        <v>0</v>
      </c>
      <c r="Y24" s="65" t="s">
        <v>63</v>
      </c>
      <c r="Z24">
        <f t="shared" si="13"/>
      </c>
      <c r="AA24" s="66">
        <f>IF($C24="S",IF($Z24="CP",$X24,IF($Z24="RA",(($X24)*'[1]QCI'!$AA$3),0)),SomaAgrup)</f>
        <v>0</v>
      </c>
      <c r="AB24" s="67">
        <f t="shared" si="14"/>
        <v>0</v>
      </c>
      <c r="AC24" s="68">
        <f t="shared" si="15"/>
      </c>
      <c r="AD24" s="8">
        <f ca="1">IF(C24&lt;=CRONO.NivelExibicao,MAX($AD$15:OFFSET(AD24,-1,0))+IF($C24&lt;&gt;1,1,MAX(1,COUNTIF('[1]QCI'!$A$13:$A$24,OFFSET($E24,-1,0)))),"")</f>
      </c>
      <c r="AE24" s="18" t="str">
        <f t="shared" si="16"/>
        <v>SINAPI  92552 </v>
      </c>
      <c r="AF24" s="69" t="e">
        <f ca="1" t="shared" si="17"/>
        <v>#VALUE!</v>
      </c>
      <c r="AG24" s="70">
        <v>2577.95</v>
      </c>
      <c r="AH24" s="71">
        <f t="shared" si="18"/>
        <v>0.2282</v>
      </c>
      <c r="AJ24" s="72">
        <v>1</v>
      </c>
      <c r="AL24" s="73"/>
      <c r="AM24" s="74">
        <f t="shared" si="0"/>
        <v>0</v>
      </c>
      <c r="AN24" s="75">
        <f t="shared" si="19"/>
        <v>0</v>
      </c>
    </row>
    <row r="25" spans="1:40" ht="45">
      <c r="A25" t="str">
        <f t="shared" si="1"/>
        <v>S</v>
      </c>
      <c r="B25">
        <f ca="1" t="shared" si="2"/>
        <v>2</v>
      </c>
      <c r="C25" t="str">
        <f ca="1" t="shared" si="3"/>
        <v>S</v>
      </c>
      <c r="D25">
        <f t="shared" si="4"/>
        <v>0</v>
      </c>
      <c r="E25" t="e">
        <f ca="1">IF($C25=1,OFFSET(E25,-1,0)+MAX(1,COUNTIF('[1]QCI'!$A$13:$A$24,OFFSET('[1]ORÇAMENTO'!E22,-1,0))),OFFSET(E25,-1,0))</f>
        <v>#VALUE!</v>
      </c>
      <c r="F25">
        <f ca="1" t="shared" si="5"/>
        <v>2</v>
      </c>
      <c r="G25">
        <f ca="1" t="shared" si="6"/>
        <v>0</v>
      </c>
      <c r="H25">
        <f ca="1" t="shared" si="7"/>
        <v>0</v>
      </c>
      <c r="I25">
        <f ca="1" t="shared" si="8"/>
        <v>0</v>
      </c>
      <c r="J25">
        <f ca="1" t="shared" si="9"/>
        <v>0</v>
      </c>
      <c r="K25">
        <f ca="1">IF(OR($C25="S",$C25=0),0,MATCH(OFFSET($D25,0,$C25)+IF($C25&lt;&gt;1,1,COUNTIF('[1]QCI'!$A$13:$A$24,'[1]ORÇAMENTO'!E22)),OFFSET($D25,1,$C25,ROW($C$223)-ROW($C25)),0))</f>
        <v>0</v>
      </c>
      <c r="L25" s="53">
        <f t="shared" si="10"/>
      </c>
      <c r="M25" s="54" t="s">
        <v>7</v>
      </c>
      <c r="N25" s="55" t="str">
        <f t="shared" si="11"/>
        <v>Serviço</v>
      </c>
      <c r="O25" s="56" t="s">
        <v>458</v>
      </c>
      <c r="P25" s="57" t="s">
        <v>62</v>
      </c>
      <c r="Q25" s="58" t="s">
        <v>138</v>
      </c>
      <c r="R25" s="59" t="s">
        <v>131</v>
      </c>
      <c r="S25" s="60" t="s">
        <v>141</v>
      </c>
      <c r="T25" s="61">
        <f t="shared" si="21"/>
        <v>34.15</v>
      </c>
      <c r="U25" s="62"/>
      <c r="V25" s="63" t="s">
        <v>10</v>
      </c>
      <c r="W25" s="61">
        <f t="shared" si="12"/>
        <v>0</v>
      </c>
      <c r="X25" s="64">
        <f t="shared" si="20"/>
        <v>0</v>
      </c>
      <c r="Y25" s="65" t="s">
        <v>63</v>
      </c>
      <c r="Z25">
        <f t="shared" si="13"/>
      </c>
      <c r="AA25" s="66">
        <f>IF($C25="S",IF($Z25="CP",$X25,IF($Z25="RA",(($X25)*'[1]QCI'!$AA$3),0)),SomaAgrup)</f>
        <v>0</v>
      </c>
      <c r="AB25" s="67">
        <f t="shared" si="14"/>
        <v>0</v>
      </c>
      <c r="AC25" s="68">
        <f t="shared" si="15"/>
      </c>
      <c r="AD25" s="8">
        <f ca="1">IF(C25&lt;=CRONO.NivelExibicao,MAX($AD$15:OFFSET(AD25,-1,0))+IF($C25&lt;&gt;1,1,MAX(1,COUNTIF('[1]QCI'!$A$13:$A$24,OFFSET($E25,-1,0)))),"")</f>
      </c>
      <c r="AE25" s="18" t="str">
        <f t="shared" si="16"/>
        <v>SINAPI  92539 </v>
      </c>
      <c r="AF25" s="69" t="e">
        <f ca="1" t="shared" si="17"/>
        <v>#VALUE!</v>
      </c>
      <c r="AG25" s="70">
        <v>80.97</v>
      </c>
      <c r="AH25" s="71">
        <f t="shared" si="18"/>
        <v>0.2282</v>
      </c>
      <c r="AJ25" s="72">
        <v>34.15</v>
      </c>
      <c r="AL25" s="73"/>
      <c r="AM25" s="74">
        <f t="shared" si="0"/>
        <v>0</v>
      </c>
      <c r="AN25" s="75">
        <f t="shared" si="19"/>
        <v>0</v>
      </c>
    </row>
    <row r="26" spans="1:40" ht="30">
      <c r="A26" t="str">
        <f t="shared" si="1"/>
        <v>S</v>
      </c>
      <c r="B26">
        <f ca="1" t="shared" si="2"/>
        <v>2</v>
      </c>
      <c r="C26" t="str">
        <f ca="1" t="shared" si="3"/>
        <v>S</v>
      </c>
      <c r="D26">
        <f t="shared" si="4"/>
        <v>0</v>
      </c>
      <c r="E26" t="e">
        <f ca="1">IF($C26=1,OFFSET(E26,-1,0)+MAX(1,COUNTIF('[1]QCI'!$A$13:$A$24,OFFSET('[1]ORÇAMENTO'!E23,-1,0))),OFFSET(E26,-1,0))</f>
        <v>#VALUE!</v>
      </c>
      <c r="F26">
        <f ca="1" t="shared" si="5"/>
        <v>2</v>
      </c>
      <c r="G26">
        <f ca="1" t="shared" si="6"/>
        <v>0</v>
      </c>
      <c r="H26">
        <f ca="1" t="shared" si="7"/>
        <v>0</v>
      </c>
      <c r="I26">
        <f ca="1" t="shared" si="8"/>
        <v>0</v>
      </c>
      <c r="J26">
        <f ca="1" t="shared" si="9"/>
        <v>0</v>
      </c>
      <c r="K26">
        <f ca="1">IF(OR($C26="S",$C26=0),0,MATCH(OFFSET($D26,0,$C26)+IF($C26&lt;&gt;1,1,COUNTIF('[1]QCI'!$A$13:$A$24,'[1]ORÇAMENTO'!E23)),OFFSET($D26,1,$C26,ROW($C$223)-ROW($C26)),0))</f>
        <v>0</v>
      </c>
      <c r="L26" s="53">
        <f t="shared" si="10"/>
      </c>
      <c r="M26" s="54" t="s">
        <v>7</v>
      </c>
      <c r="N26" s="55" t="str">
        <f t="shared" si="11"/>
        <v>Serviço</v>
      </c>
      <c r="O26" s="56" t="s">
        <v>459</v>
      </c>
      <c r="P26" s="57" t="s">
        <v>62</v>
      </c>
      <c r="Q26" s="58" t="s">
        <v>139</v>
      </c>
      <c r="R26" s="59" t="s">
        <v>132</v>
      </c>
      <c r="S26" s="60" t="s">
        <v>141</v>
      </c>
      <c r="T26" s="61">
        <f t="shared" si="21"/>
        <v>34.15</v>
      </c>
      <c r="U26" s="62"/>
      <c r="V26" s="63" t="s">
        <v>10</v>
      </c>
      <c r="W26" s="61">
        <f t="shared" si="12"/>
        <v>0</v>
      </c>
      <c r="X26" s="64">
        <f t="shared" si="20"/>
        <v>0</v>
      </c>
      <c r="Y26" s="65" t="s">
        <v>63</v>
      </c>
      <c r="Z26">
        <f t="shared" si="13"/>
      </c>
      <c r="AA26" s="66">
        <f>IF($C26="S",IF($Z26="CP",$X26,IF($Z26="RA",(($X26)*'[1]QCI'!$AA$3),0)),SomaAgrup)</f>
        <v>0</v>
      </c>
      <c r="AB26" s="67">
        <f t="shared" si="14"/>
        <v>0</v>
      </c>
      <c r="AC26" s="68">
        <f t="shared" si="15"/>
      </c>
      <c r="AD26" s="8">
        <f ca="1">IF(C26&lt;=CRONO.NivelExibicao,MAX($AD$15:OFFSET(AD26,-1,0))+IF($C26&lt;&gt;1,1,MAX(1,COUNTIF('[1]QCI'!$A$13:$A$24,OFFSET($E26,-1,0)))),"")</f>
      </c>
      <c r="AE26" s="18" t="str">
        <f t="shared" si="16"/>
        <v>SINAPI  94195 </v>
      </c>
      <c r="AF26" s="69" t="e">
        <f ca="1" t="shared" si="17"/>
        <v>#VALUE!</v>
      </c>
      <c r="AG26" s="70">
        <v>34.47</v>
      </c>
      <c r="AH26" s="71">
        <f t="shared" si="18"/>
        <v>0.2282</v>
      </c>
      <c r="AJ26" s="72">
        <v>34.15</v>
      </c>
      <c r="AL26" s="73"/>
      <c r="AM26" s="74">
        <f t="shared" si="0"/>
        <v>0</v>
      </c>
      <c r="AN26" s="75">
        <f t="shared" si="19"/>
        <v>0</v>
      </c>
    </row>
    <row r="27" spans="1:40" ht="45">
      <c r="A27" t="str">
        <f t="shared" si="1"/>
        <v>S</v>
      </c>
      <c r="B27">
        <f ca="1" t="shared" si="2"/>
        <v>2</v>
      </c>
      <c r="C27" t="str">
        <f ca="1" t="shared" si="3"/>
        <v>S</v>
      </c>
      <c r="D27">
        <f t="shared" si="4"/>
        <v>0</v>
      </c>
      <c r="E27" t="e">
        <f ca="1">IF($C27=1,OFFSET(E27,-1,0)+MAX(1,COUNTIF('[1]QCI'!$A$13:$A$24,OFFSET('[1]ORÇAMENTO'!E24,-1,0))),OFFSET(E27,-1,0))</f>
        <v>#VALUE!</v>
      </c>
      <c r="F27">
        <f ca="1" t="shared" si="5"/>
        <v>2</v>
      </c>
      <c r="G27">
        <f ca="1" t="shared" si="6"/>
        <v>0</v>
      </c>
      <c r="H27">
        <f ca="1" t="shared" si="7"/>
        <v>0</v>
      </c>
      <c r="I27">
        <f ca="1" t="shared" si="8"/>
        <v>0</v>
      </c>
      <c r="J27">
        <f ca="1" t="shared" si="9"/>
        <v>0</v>
      </c>
      <c r="K27">
        <f ca="1">IF(OR($C27="S",$C27=0),0,MATCH(OFFSET($D27,0,$C27)+IF($C27&lt;&gt;1,1,COUNTIF('[1]QCI'!$A$13:$A$24,'[1]ORÇAMENTO'!E24)),OFFSET($D27,1,$C27,ROW($C$223)-ROW($C27)),0))</f>
        <v>0</v>
      </c>
      <c r="L27" s="53">
        <f t="shared" si="10"/>
      </c>
      <c r="M27" s="54" t="s">
        <v>7</v>
      </c>
      <c r="N27" s="55" t="str">
        <f t="shared" si="11"/>
        <v>Serviço</v>
      </c>
      <c r="O27" s="56" t="s">
        <v>460</v>
      </c>
      <c r="P27" s="57" t="s">
        <v>62</v>
      </c>
      <c r="Q27" s="58" t="s">
        <v>140</v>
      </c>
      <c r="R27" s="59" t="s">
        <v>133</v>
      </c>
      <c r="S27" s="60" t="s">
        <v>143</v>
      </c>
      <c r="T27" s="61">
        <f t="shared" si="21"/>
        <v>12</v>
      </c>
      <c r="U27" s="62"/>
      <c r="V27" s="63" t="s">
        <v>10</v>
      </c>
      <c r="W27" s="61">
        <f t="shared" si="12"/>
        <v>0</v>
      </c>
      <c r="X27" s="64">
        <f t="shared" si="20"/>
        <v>0</v>
      </c>
      <c r="Y27" s="65" t="s">
        <v>63</v>
      </c>
      <c r="Z27">
        <f t="shared" si="13"/>
      </c>
      <c r="AA27" s="66">
        <f>IF($C27="S",IF($Z27="CP",$X27,IF($Z27="RA",(($X27)*'[1]QCI'!$AA$3),0)),SomaAgrup)</f>
        <v>0</v>
      </c>
      <c r="AB27" s="67">
        <f t="shared" si="14"/>
        <v>0</v>
      </c>
      <c r="AC27" s="68">
        <f t="shared" si="15"/>
      </c>
      <c r="AD27" s="8">
        <f ca="1">IF(C27&lt;=CRONO.NivelExibicao,MAX($AD$15:OFFSET(AD27,-1,0))+IF($C27&lt;&gt;1,1,MAX(1,COUNTIF('[1]QCI'!$A$13:$A$24,OFFSET($E27,-1,0)))),"")</f>
      </c>
      <c r="AE27" s="18" t="str">
        <f t="shared" si="16"/>
        <v>SINAPI  94221 </v>
      </c>
      <c r="AF27" s="69" t="e">
        <f ca="1" t="shared" si="17"/>
        <v>#VALUE!</v>
      </c>
      <c r="AG27" s="70">
        <v>23.96</v>
      </c>
      <c r="AH27" s="71">
        <f t="shared" si="18"/>
        <v>0.2282</v>
      </c>
      <c r="AJ27" s="72">
        <v>12</v>
      </c>
      <c r="AL27" s="73"/>
      <c r="AM27" s="74">
        <f t="shared" si="0"/>
        <v>0</v>
      </c>
      <c r="AN27" s="75">
        <f t="shared" si="19"/>
        <v>0</v>
      </c>
    </row>
    <row r="28" spans="1:40" ht="15">
      <c r="A28">
        <f aca="true" t="shared" si="22" ref="A28:A51">CHOOSE(1+LOG(1+2*(ORÇAMENTO.Nivel="Meta")+4*(ORÇAMENTO.Nivel="Nível 2")+8*(ORÇAMENTO.Nivel="Nível 3")+16*(ORÇAMENTO.Nivel="Nível 4")+32*(ORÇAMENTO.Nivel="Serviço"),2),0,1,2,3,4,"S")</f>
        <v>1</v>
      </c>
      <c r="B28">
        <f ca="1" t="shared" si="2"/>
        <v>1</v>
      </c>
      <c r="C28">
        <f ca="1" t="shared" si="3"/>
        <v>1</v>
      </c>
      <c r="D28">
        <f t="shared" si="4"/>
        <v>195</v>
      </c>
      <c r="E28" t="e">
        <f ca="1">IF($C28=1,OFFSET(E28,-1,0)+MAX(1,COUNTIF('[1]QCI'!$A$13:$A$24,OFFSET('[1]ORÇAMENTO'!E25,-1,0))),OFFSET(E28,-1,0))</f>
        <v>#VALUE!</v>
      </c>
      <c r="F28">
        <f ca="1" t="shared" si="5"/>
        <v>0</v>
      </c>
      <c r="G28">
        <f ca="1" t="shared" si="6"/>
        <v>0</v>
      </c>
      <c r="H28">
        <f ca="1" t="shared" si="7"/>
        <v>0</v>
      </c>
      <c r="I28">
        <f ca="1" t="shared" si="8"/>
        <v>0</v>
      </c>
      <c r="J28">
        <f ca="1" t="shared" si="9"/>
        <v>195</v>
      </c>
      <c r="K28" t="e">
        <f ca="1">IF(OR($C28="S",$C28=0),0,MATCH(OFFSET($D28,0,$C28)+IF($C28&lt;&gt;1,1,COUNTIF('[1]QCI'!$A$13:$A$24,'[1]ORÇAMENTO'!E25)),OFFSET($D28,1,$C28,ROW($C$223)-ROW($C28)),0))</f>
        <v>#VALUE!</v>
      </c>
      <c r="L28" s="53" t="str">
        <f t="shared" si="10"/>
        <v>F</v>
      </c>
      <c r="M28" s="54" t="s">
        <v>3</v>
      </c>
      <c r="N28" s="55" t="str">
        <f t="shared" si="11"/>
        <v>Meta</v>
      </c>
      <c r="O28" s="56" t="s">
        <v>252</v>
      </c>
      <c r="P28" s="57" t="s">
        <v>62</v>
      </c>
      <c r="Q28" s="58"/>
      <c r="R28" s="59" t="s">
        <v>69</v>
      </c>
      <c r="S28" s="60" t="str">
        <f aca="true" t="shared" si="23" ref="S28:S51">REFERENCIA.Unidade</f>
        <v>-</v>
      </c>
      <c r="T28" s="61" t="e">
        <f ca="1">OFFSET('[1]CÁLCULO'!H$15,ROW($T28)-ROW(T$15),0)</f>
        <v>#VALUE!</v>
      </c>
      <c r="U28" s="62"/>
      <c r="V28" s="63" t="s">
        <v>10</v>
      </c>
      <c r="W28" s="61">
        <f aca="true" t="shared" si="24" ref="W28:W51">IF($C28="S",ROUND(IF(TIPOORCAMENTO="Proposto",ORÇAMENTO.CustoUnitario*(1+$AH28),ORÇAMENTO.PrecoUnitarioLicitado),15-13*$AF$10),0)</f>
        <v>0</v>
      </c>
      <c r="X28" s="64">
        <f>ROUND(SUM(X29),2)</f>
        <v>2</v>
      </c>
      <c r="Y28" s="65" t="s">
        <v>63</v>
      </c>
      <c r="Z28">
        <f t="shared" si="13"/>
      </c>
      <c r="AA28" s="66">
        <f>IF($C28="S",IF($Z28="CP",$X28,IF($Z28="RA",(($X28)*'[1]QCI'!$AA$3),0)),SomaAgrup)</f>
        <v>0</v>
      </c>
      <c r="AB28" s="67">
        <f aca="true" t="shared" si="25" ref="AB28:AB51">IF($C28="S",IF($Z28="OU",ROUND($X28,2),0),SomaAgrup)</f>
        <v>0</v>
      </c>
      <c r="AC28" s="68" t="e">
        <f aca="true" t="shared" si="26" ref="AC28:AC51">IF($N28="","",IF(ORÇAMENTO.Descricao="","DESCRIÇÃO",IF(AND($C28="S",ORÇAMENTO.Unidade=""),"UNIDADE",IF($X28&lt;0,"VALOR NEGATIVO",IF(OR(AND(TIPOORCAMENTO="Proposto",$AG28&lt;&gt;"",$AG28&gt;0,ORÇAMENTO.CustoUnitario&gt;$AG28),AND(TIPOORCAMENTO="LICITADO",ORÇAMENTO.PrecoUnitarioLicitado&gt;$AN28)),"ACIMA REF.","")))))</f>
        <v>#VALUE!</v>
      </c>
      <c r="AD28" s="8" t="e">
        <f ca="1">IF(C28&lt;=CRONO.NivelExibicao,MAX($AD$15:OFFSET(AD28,-1,0))+IF($C28&lt;&gt;1,1,MAX(1,COUNTIF('[1]QCI'!$A$13:$A$24,OFFSET($E28,-1,0)))),"")</f>
        <v>#VALUE!</v>
      </c>
      <c r="AE28" s="18" t="b">
        <f aca="true" t="shared" si="27" ref="AE28:AE51">IF(AND($C28="S",ORÇAMENTO.CodBarra&lt;&gt;""),IF(ORÇAMENTO.Fonte="",ORÇAMENTO.CodBarra,CONCATENATE(ORÇAMENTO.Fonte," ",ORÇAMENTO.CodBarra)))</f>
        <v>0</v>
      </c>
      <c r="AF28" s="69" t="e">
        <f aca="true" ca="1" t="shared" si="28" ref="AF28:AF51">IF(ISERROR(INDIRECT(ORÇAMENTO.BancoRef)),"(abra o arquivo 'Referência "&amp;Excel_BuiltIn_Database&amp;".xls)",IF(OR($C28&lt;&gt;"S",ORÇAMENTO.CodBarra=""),"(Sem Código)",IF(ISERROR(MATCH($AE28,INDIRECT(ORÇAMENTO.BancoRef),0)),"(Código não identificado nas referências)",MATCH($AE28,INDIRECT(ORÇAMENTO.BancoRef),0))))</f>
        <v>#VALUE!</v>
      </c>
      <c r="AG28" s="70" t="e">
        <f aca="true" t="shared" si="29" ref="AG28:AG51">ROUND(IF(DESONERACAO="sim",REFERENCIA.Desonerado,REFERENCIA.NaoDesonerado),2)</f>
        <v>#VALUE!</v>
      </c>
      <c r="AH28" s="71">
        <f aca="true" t="shared" si="30" ref="AH28:AH51">ROUND(IF(ISNUMBER(ORÇAMENTO.OpcaoBDI),ORÇAMENTO.OpcaoBDI,IF(LEFT(ORÇAMENTO.OpcaoBDI,3)="BDI",HLOOKUP(ORÇAMENTO.OpcaoBDI,$F$4:$H$5,2,FALSE),0)),15-11*$AF$9)</f>
        <v>0.2282</v>
      </c>
      <c r="AJ28" s="72"/>
      <c r="AL28" s="73"/>
      <c r="AM28" s="74">
        <f t="shared" si="0"/>
        <v>2</v>
      </c>
      <c r="AN28" s="75">
        <f aca="true" t="shared" si="31" ref="AN28:AN51">ROUND(ORÇAMENTO.CustoUnitario*(1+$AH28),2)</f>
        <v>0</v>
      </c>
    </row>
    <row r="29" spans="1:40" ht="15">
      <c r="A29" t="str">
        <f t="shared" si="22"/>
        <v>S</v>
      </c>
      <c r="B29">
        <f ca="1" t="shared" si="2"/>
        <v>2</v>
      </c>
      <c r="C29">
        <f ca="1" t="shared" si="3"/>
        <v>2</v>
      </c>
      <c r="D29">
        <f t="shared" si="4"/>
        <v>4</v>
      </c>
      <c r="E29" t="e">
        <f ca="1">IF($C29=1,OFFSET(E29,-1,0)+MAX(1,COUNTIF('[1]QCI'!$A$13:$A$24,OFFSET('[1]ORÇAMENTO'!E26,-1,0))),OFFSET(E29,-1,0))</f>
        <v>#VALUE!</v>
      </c>
      <c r="F29">
        <f ca="1" t="shared" si="5"/>
        <v>1</v>
      </c>
      <c r="G29">
        <f ca="1" t="shared" si="6"/>
        <v>0</v>
      </c>
      <c r="H29">
        <f ca="1" t="shared" si="7"/>
        <v>0</v>
      </c>
      <c r="I29">
        <f ca="1" t="shared" si="8"/>
        <v>0</v>
      </c>
      <c r="J29">
        <f ca="1" t="shared" si="9"/>
        <v>4</v>
      </c>
      <c r="K29">
        <f ca="1">IF(OR($C29="S",$C29=0),0,MATCH(OFFSET($D29,0,$C29)+IF($C29&lt;&gt;1,1,COUNTIF('[1]QCI'!$A$13:$A$24,'[1]ORÇAMENTO'!E26)),OFFSET($D29,1,$C29,ROW($C$223)-ROW($C29)),0))</f>
        <v>19</v>
      </c>
      <c r="L29" s="53" t="str">
        <f t="shared" si="10"/>
        <v>F</v>
      </c>
      <c r="M29" s="54" t="s">
        <v>7</v>
      </c>
      <c r="N29" s="55" t="str">
        <f t="shared" si="11"/>
        <v>Nível 2</v>
      </c>
      <c r="O29" s="56" t="s">
        <v>253</v>
      </c>
      <c r="P29" s="57" t="s">
        <v>70</v>
      </c>
      <c r="Q29" s="58" t="s">
        <v>71</v>
      </c>
      <c r="R29" s="59" t="s">
        <v>67</v>
      </c>
      <c r="S29" s="60" t="str">
        <f t="shared" si="23"/>
        <v>-</v>
      </c>
      <c r="T29" s="61" t="e">
        <f ca="1">OFFSET('[1]CÁLCULO'!H$15,ROW($T29)-ROW(T$15),0)</f>
        <v>#VALUE!</v>
      </c>
      <c r="U29" s="62"/>
      <c r="V29" s="63" t="s">
        <v>10</v>
      </c>
      <c r="W29" s="61">
        <f t="shared" si="24"/>
        <v>0</v>
      </c>
      <c r="X29" s="64">
        <f>ROUND(SUM(X30),2)</f>
        <v>2</v>
      </c>
      <c r="Y29" s="65" t="s">
        <v>63</v>
      </c>
      <c r="Z29">
        <f t="shared" si="13"/>
      </c>
      <c r="AA29" s="66">
        <f>IF($C29="S",IF($Z29="CP",$X29,IF($Z29="RA",(($X29)*'[1]QCI'!$AA$3),0)),SomaAgrup)</f>
        <v>0</v>
      </c>
      <c r="AB29" s="67">
        <f t="shared" si="25"/>
        <v>0</v>
      </c>
      <c r="AC29" s="68" t="e">
        <f t="shared" si="26"/>
        <v>#VALUE!</v>
      </c>
      <c r="AD29" s="8" t="e">
        <f ca="1">IF(C29&lt;=CRONO.NivelExibicao,MAX($AD$15:OFFSET(AD29,-1,0))+IF($C29&lt;&gt;1,1,MAX(1,COUNTIF('[1]QCI'!$A$13:$A$24,OFFSET($E29,-1,0)))),"")</f>
        <v>#VALUE!</v>
      </c>
      <c r="AE29" s="18" t="b">
        <f t="shared" si="27"/>
        <v>0</v>
      </c>
      <c r="AF29" s="69" t="e">
        <f ca="1" t="shared" si="28"/>
        <v>#VALUE!</v>
      </c>
      <c r="AG29" s="70" t="e">
        <f t="shared" si="29"/>
        <v>#VALUE!</v>
      </c>
      <c r="AH29" s="71">
        <f t="shared" si="30"/>
        <v>0.2282</v>
      </c>
      <c r="AJ29" s="72"/>
      <c r="AL29" s="73"/>
      <c r="AM29" s="74">
        <f t="shared" si="0"/>
        <v>2</v>
      </c>
      <c r="AN29" s="75">
        <f t="shared" si="31"/>
        <v>0</v>
      </c>
    </row>
    <row r="30" spans="1:40" ht="15">
      <c r="A30">
        <f t="shared" si="22"/>
        <v>3</v>
      </c>
      <c r="B30">
        <f ca="1" t="shared" si="2"/>
        <v>3</v>
      </c>
      <c r="C30">
        <f ca="1" t="shared" si="3"/>
        <v>3</v>
      </c>
      <c r="D30">
        <f t="shared" si="4"/>
        <v>3</v>
      </c>
      <c r="E30" t="e">
        <f ca="1">IF($C30=1,OFFSET(E30,-1,0)+MAX(1,COUNTIF('[1]QCI'!$A$13:$A$24,OFFSET('[1]ORÇAMENTO'!E27,-1,0))),OFFSET(E30,-1,0))</f>
        <v>#VALUE!</v>
      </c>
      <c r="F30">
        <f ca="1" t="shared" si="5"/>
        <v>1</v>
      </c>
      <c r="G30">
        <f ca="1" t="shared" si="6"/>
        <v>1</v>
      </c>
      <c r="H30">
        <f ca="1" t="shared" si="7"/>
        <v>0</v>
      </c>
      <c r="I30">
        <f ca="1" t="shared" si="8"/>
        <v>0</v>
      </c>
      <c r="J30">
        <f ca="1" t="shared" si="9"/>
        <v>3</v>
      </c>
      <c r="K30">
        <f ca="1">IF(OR($C30="S",$C30=0),0,MATCH(OFFSET($D30,0,$C30)+IF($C30&lt;&gt;1,1,COUNTIF('[1]QCI'!$A$13:$A$24,'[1]ORÇAMENTO'!E27)),OFFSET($D30,1,$C30,ROW($C$223)-ROW($C30)),0))</f>
        <v>139</v>
      </c>
      <c r="L30" s="53" t="str">
        <f t="shared" si="10"/>
        <v>F</v>
      </c>
      <c r="M30" s="54" t="s">
        <v>5</v>
      </c>
      <c r="N30" s="55" t="str">
        <f>CHOOSE(1+LOG(1+2*(C30=1)+4*(C30=2)+8*(C30=3)+16*(C30=4)+32*(C30="S"),2),"","Meta","Nível 2","Nível 3","Nível 4","Serviço")</f>
        <v>Nível 3</v>
      </c>
      <c r="O30" s="56" t="s">
        <v>254</v>
      </c>
      <c r="P30" s="57" t="s">
        <v>62</v>
      </c>
      <c r="Q30" s="58"/>
      <c r="R30" s="59" t="s">
        <v>72</v>
      </c>
      <c r="S30" s="60" t="str">
        <f t="shared" si="23"/>
        <v>-</v>
      </c>
      <c r="T30" s="61" t="e">
        <f ca="1">OFFSET('[1]CÁLCULO'!H$15,ROW($T30)-ROW(T$15),0)</f>
        <v>#VALUE!</v>
      </c>
      <c r="U30" s="62"/>
      <c r="V30" s="63" t="s">
        <v>10</v>
      </c>
      <c r="W30" s="61">
        <f t="shared" si="24"/>
        <v>0</v>
      </c>
      <c r="X30" s="64">
        <f>ROUND(SUM(X31:X32,2),2)</f>
        <v>2</v>
      </c>
      <c r="Y30" s="65" t="s">
        <v>63</v>
      </c>
      <c r="Z30">
        <f t="shared" si="13"/>
      </c>
      <c r="AA30" s="66">
        <f>IF($C30="S",IF($Z30="CP",$X30,IF($Z30="RA",(($X30)*'[1]QCI'!$AA$3),0)),SomaAgrup)</f>
        <v>0</v>
      </c>
      <c r="AB30" s="67">
        <f t="shared" si="25"/>
        <v>0</v>
      </c>
      <c r="AC30" s="68">
        <v>171.72</v>
      </c>
      <c r="AD30" s="8" t="e">
        <f ca="1">IF(C30&lt;=CRONO.NivelExibicao,MAX($AD$15:OFFSET(AD30,-1,0))+IF($C30&lt;&gt;1,1,MAX(1,COUNTIF('[1]QCI'!$A$13:$A$24,OFFSET($E30,-1,0)))),"")</f>
        <v>#VALUE!</v>
      </c>
      <c r="AE30" s="18" t="b">
        <f t="shared" si="27"/>
        <v>0</v>
      </c>
      <c r="AF30" s="69" t="e">
        <f ca="1" t="shared" si="28"/>
        <v>#VALUE!</v>
      </c>
      <c r="AG30" s="70" t="e">
        <f t="shared" si="29"/>
        <v>#VALUE!</v>
      </c>
      <c r="AH30" s="71">
        <f t="shared" si="30"/>
        <v>0.2282</v>
      </c>
      <c r="AJ30" s="72"/>
      <c r="AL30" s="73"/>
      <c r="AM30" s="74">
        <f t="shared" si="0"/>
        <v>2</v>
      </c>
      <c r="AN30" s="75">
        <f t="shared" si="31"/>
        <v>0</v>
      </c>
    </row>
    <row r="31" spans="1:40" ht="30">
      <c r="A31" t="str">
        <f t="shared" si="22"/>
        <v>S</v>
      </c>
      <c r="B31">
        <f ca="1" t="shared" si="2"/>
        <v>3</v>
      </c>
      <c r="C31" t="str">
        <f ca="1" t="shared" si="3"/>
        <v>S</v>
      </c>
      <c r="D31">
        <f t="shared" si="4"/>
        <v>0</v>
      </c>
      <c r="E31" t="e">
        <f ca="1">IF($C31=1,OFFSET(E31,-1,0)+MAX(1,COUNTIF('[1]QCI'!$A$13:$A$24,OFFSET('[1]ORÇAMENTO'!E28,-1,0))),OFFSET(E31,-1,0))</f>
        <v>#VALUE!</v>
      </c>
      <c r="F31">
        <f ca="1" t="shared" si="5"/>
        <v>1</v>
      </c>
      <c r="G31">
        <f ca="1" t="shared" si="6"/>
        <v>1</v>
      </c>
      <c r="H31">
        <f ca="1" t="shared" si="7"/>
        <v>0</v>
      </c>
      <c r="I31">
        <f ca="1" t="shared" si="8"/>
        <v>0</v>
      </c>
      <c r="J31">
        <f ca="1" t="shared" si="9"/>
        <v>0</v>
      </c>
      <c r="K31">
        <f ca="1">IF(OR($C31="S",$C31=0),0,MATCH(OFFSET($D31,0,$C31)+IF($C31&lt;&gt;1,1,COUNTIF('[1]QCI'!$A$13:$A$24,'[1]ORÇAMENTO'!E28)),OFFSET($D31,1,$C31,ROW($C$223)-ROW($C31)),0))</f>
        <v>0</v>
      </c>
      <c r="L31" s="53">
        <f t="shared" si="10"/>
      </c>
      <c r="M31" s="54" t="s">
        <v>7</v>
      </c>
      <c r="N31" s="55" t="str">
        <f t="shared" si="11"/>
        <v>Serviço</v>
      </c>
      <c r="O31" s="56" t="s">
        <v>145</v>
      </c>
      <c r="P31" s="57" t="s">
        <v>62</v>
      </c>
      <c r="Q31" s="58">
        <v>97647</v>
      </c>
      <c r="R31" s="59" t="s">
        <v>127</v>
      </c>
      <c r="S31" s="60" t="s">
        <v>141</v>
      </c>
      <c r="T31" s="61">
        <f>AJ31</f>
        <v>3.75</v>
      </c>
      <c r="U31" s="62"/>
      <c r="V31" s="63" t="s">
        <v>10</v>
      </c>
      <c r="W31" s="61">
        <f t="shared" si="24"/>
        <v>0</v>
      </c>
      <c r="X31" s="64">
        <f aca="true" t="shared" si="32" ref="X31:X49">IF($C31="S",VTOTAL1,IF($C31=0,0,ROUND(SomaAgrup,15-13*$AF$11)))</f>
        <v>0</v>
      </c>
      <c r="Y31" s="65" t="s">
        <v>63</v>
      </c>
      <c r="Z31">
        <f t="shared" si="13"/>
      </c>
      <c r="AA31" s="66">
        <f>IF($C31="S",IF($Z31="CP",$X31,IF($Z31="RA",(($X31)*'[1]QCI'!$AA$3),0)),SomaAgrup)</f>
        <v>0</v>
      </c>
      <c r="AB31" s="67">
        <f t="shared" si="25"/>
        <v>0</v>
      </c>
      <c r="AC31" s="68">
        <f t="shared" si="26"/>
      </c>
      <c r="AD31" s="8">
        <f ca="1">IF(C31&lt;=CRONO.NivelExibicao,MAX($AD$15:OFFSET(AD31,-1,0))+IF($C31&lt;&gt;1,1,MAX(1,COUNTIF('[1]QCI'!$A$13:$A$24,OFFSET($E31,-1,0)))),"")</f>
      </c>
      <c r="AE31" s="18" t="str">
        <f t="shared" si="27"/>
        <v>SINAPI 97647</v>
      </c>
      <c r="AF31" s="69" t="e">
        <f ca="1" t="shared" si="28"/>
        <v>#VALUE!</v>
      </c>
      <c r="AG31" s="70">
        <v>2.81</v>
      </c>
      <c r="AH31" s="71">
        <f t="shared" si="30"/>
        <v>0.2282</v>
      </c>
      <c r="AJ31" s="72">
        <v>3.75</v>
      </c>
      <c r="AL31" s="73"/>
      <c r="AM31" s="74">
        <f t="shared" si="0"/>
        <v>0</v>
      </c>
      <c r="AN31" s="75">
        <f t="shared" si="31"/>
        <v>0</v>
      </c>
    </row>
    <row r="32" spans="1:40" ht="30">
      <c r="A32" t="str">
        <f t="shared" si="22"/>
        <v>S</v>
      </c>
      <c r="B32">
        <f ca="1" t="shared" si="2"/>
        <v>3</v>
      </c>
      <c r="C32" t="str">
        <f ca="1" t="shared" si="3"/>
        <v>S</v>
      </c>
      <c r="D32">
        <f t="shared" si="4"/>
        <v>0</v>
      </c>
      <c r="E32" t="e">
        <f ca="1">IF($C32=1,OFFSET(E32,-1,0)+MAX(1,COUNTIF('[1]QCI'!$A$13:$A$24,OFFSET('[1]ORÇAMENTO'!E29,-1,0))),OFFSET(E32,-1,0))</f>
        <v>#VALUE!</v>
      </c>
      <c r="F32">
        <f ca="1" t="shared" si="5"/>
        <v>1</v>
      </c>
      <c r="G32">
        <f ca="1" t="shared" si="6"/>
        <v>1</v>
      </c>
      <c r="H32">
        <f ca="1" t="shared" si="7"/>
        <v>0</v>
      </c>
      <c r="I32">
        <f ca="1" t="shared" si="8"/>
        <v>0</v>
      </c>
      <c r="J32">
        <f ca="1" t="shared" si="9"/>
        <v>0</v>
      </c>
      <c r="K32">
        <f ca="1">IF(OR($C32="S",$C32=0),0,MATCH(OFFSET($D32,0,$C32)+IF($C32&lt;&gt;1,1,COUNTIF('[1]QCI'!$A$13:$A$24,'[1]ORÇAMENTO'!E29)),OFFSET($D32,1,$C32,ROW($C$223)-ROW($C32)),0))</f>
        <v>0</v>
      </c>
      <c r="L32" s="53">
        <f t="shared" si="10"/>
      </c>
      <c r="M32" s="54" t="s">
        <v>7</v>
      </c>
      <c r="N32" s="55" t="str">
        <f t="shared" si="11"/>
        <v>Serviço</v>
      </c>
      <c r="O32" s="56" t="s">
        <v>146</v>
      </c>
      <c r="P32" s="57" t="s">
        <v>62</v>
      </c>
      <c r="Q32" s="58" t="s">
        <v>139</v>
      </c>
      <c r="R32" s="59" t="s">
        <v>132</v>
      </c>
      <c r="S32" s="60" t="s">
        <v>141</v>
      </c>
      <c r="T32" s="61">
        <f>AJ32</f>
        <v>3.75</v>
      </c>
      <c r="U32" s="62"/>
      <c r="V32" s="63" t="s">
        <v>10</v>
      </c>
      <c r="W32" s="61">
        <f t="shared" si="24"/>
        <v>0</v>
      </c>
      <c r="X32" s="64">
        <f t="shared" si="32"/>
        <v>0</v>
      </c>
      <c r="Y32" s="65" t="s">
        <v>63</v>
      </c>
      <c r="Z32">
        <f t="shared" si="13"/>
      </c>
      <c r="AA32" s="66">
        <f>IF($C32="S",IF($Z32="CP",$X32,IF($Z32="RA",(($X32)*'[1]QCI'!$AA$3),0)),SomaAgrup)</f>
        <v>0</v>
      </c>
      <c r="AB32" s="67">
        <f t="shared" si="25"/>
        <v>0</v>
      </c>
      <c r="AC32" s="68">
        <f t="shared" si="26"/>
      </c>
      <c r="AD32" s="8">
        <f ca="1">IF(C32&lt;=CRONO.NivelExibicao,MAX($AD$15:OFFSET(AD32,-1,0))+IF($C32&lt;&gt;1,1,MAX(1,COUNTIF('[1]QCI'!$A$13:$A$24,OFFSET($E32,-1,0)))),"")</f>
      </c>
      <c r="AE32" s="18" t="str">
        <f t="shared" si="27"/>
        <v>SINAPI  94195 </v>
      </c>
      <c r="AF32" s="69" t="e">
        <f ca="1" t="shared" si="28"/>
        <v>#VALUE!</v>
      </c>
      <c r="AG32" s="70">
        <v>34.47</v>
      </c>
      <c r="AH32" s="71">
        <f t="shared" si="30"/>
        <v>0.2282</v>
      </c>
      <c r="AJ32" s="72">
        <v>3.75</v>
      </c>
      <c r="AL32" s="73"/>
      <c r="AM32" s="74">
        <f t="shared" si="0"/>
        <v>0</v>
      </c>
      <c r="AN32" s="75">
        <f t="shared" si="31"/>
        <v>0</v>
      </c>
    </row>
    <row r="33" spans="1:40" ht="15">
      <c r="A33">
        <f t="shared" si="22"/>
        <v>1</v>
      </c>
      <c r="B33">
        <f ca="1" t="shared" si="2"/>
        <v>1</v>
      </c>
      <c r="C33">
        <f ca="1" t="shared" si="3"/>
        <v>1</v>
      </c>
      <c r="D33">
        <f t="shared" si="4"/>
        <v>190</v>
      </c>
      <c r="E33" t="e">
        <f ca="1">IF($C33=1,OFFSET(E33,-1,0)+MAX(1,COUNTIF('[1]QCI'!$A$13:$A$24,OFFSET('[1]ORÇAMENTO'!E30,-1,0))),OFFSET(E33,-1,0))</f>
        <v>#VALUE!</v>
      </c>
      <c r="F33">
        <f ca="1" t="shared" si="5"/>
        <v>0</v>
      </c>
      <c r="G33">
        <f ca="1" t="shared" si="6"/>
        <v>0</v>
      </c>
      <c r="H33">
        <f ca="1" t="shared" si="7"/>
        <v>0</v>
      </c>
      <c r="I33">
        <f ca="1" t="shared" si="8"/>
        <v>0</v>
      </c>
      <c r="J33">
        <f ca="1" t="shared" si="9"/>
        <v>190</v>
      </c>
      <c r="K33" t="e">
        <f ca="1">IF(OR($C33="S",$C33=0),0,MATCH(OFFSET($D33,0,$C33)+IF($C33&lt;&gt;1,1,COUNTIF('[1]QCI'!$A$13:$A$24,'[1]ORÇAMENTO'!E30)),OFFSET($D33,1,$C33,ROW($C$223)-ROW($C33)),0))</f>
        <v>#VALUE!</v>
      </c>
      <c r="L33" s="53" t="str">
        <f t="shared" si="10"/>
        <v>F</v>
      </c>
      <c r="M33" s="54" t="s">
        <v>3</v>
      </c>
      <c r="N33" s="55" t="str">
        <f t="shared" si="11"/>
        <v>Meta</v>
      </c>
      <c r="O33" s="56" t="s">
        <v>255</v>
      </c>
      <c r="P33" s="57" t="s">
        <v>62</v>
      </c>
      <c r="Q33" s="58"/>
      <c r="R33" s="59" t="s">
        <v>74</v>
      </c>
      <c r="S33" s="60" t="str">
        <f t="shared" si="23"/>
        <v>-</v>
      </c>
      <c r="T33" s="61" t="e">
        <f ca="1">OFFSET('[1]CÁLCULO'!H$15,ROW($T33)-ROW(T$15),0)</f>
        <v>#VALUE!</v>
      </c>
      <c r="U33" s="62"/>
      <c r="V33" s="63" t="s">
        <v>10</v>
      </c>
      <c r="W33" s="61">
        <f t="shared" si="24"/>
        <v>0</v>
      </c>
      <c r="X33" s="64">
        <f>ROUND(SUM(X34),2)</f>
        <v>2</v>
      </c>
      <c r="Y33" s="65" t="s">
        <v>63</v>
      </c>
      <c r="Z33">
        <f t="shared" si="13"/>
      </c>
      <c r="AA33" s="66">
        <f>IF($C33="S",IF($Z33="CP",$X33,IF($Z33="RA",(($X33)*'[1]QCI'!$AA$3),0)),SomaAgrup)</f>
        <v>0</v>
      </c>
      <c r="AB33" s="67">
        <f t="shared" si="25"/>
        <v>0</v>
      </c>
      <c r="AC33" s="68" t="e">
        <f t="shared" si="26"/>
        <v>#VALUE!</v>
      </c>
      <c r="AD33" s="8" t="e">
        <f ca="1">IF(C33&lt;=CRONO.NivelExibicao,MAX($AD$15:OFFSET(AD33,-1,0))+IF($C33&lt;&gt;1,1,MAX(1,COUNTIF('[1]QCI'!$A$13:$A$24,OFFSET($E33,-1,0)))),"")</f>
        <v>#VALUE!</v>
      </c>
      <c r="AE33" s="18" t="b">
        <f t="shared" si="27"/>
        <v>0</v>
      </c>
      <c r="AF33" s="69" t="e">
        <f ca="1" t="shared" si="28"/>
        <v>#VALUE!</v>
      </c>
      <c r="AG33" s="70" t="e">
        <f t="shared" si="29"/>
        <v>#VALUE!</v>
      </c>
      <c r="AH33" s="71">
        <f t="shared" si="30"/>
        <v>0.2282</v>
      </c>
      <c r="AJ33" s="72"/>
      <c r="AL33" s="73"/>
      <c r="AM33" s="74">
        <f t="shared" si="0"/>
        <v>2</v>
      </c>
      <c r="AN33" s="75">
        <f t="shared" si="31"/>
        <v>0</v>
      </c>
    </row>
    <row r="34" spans="1:40" ht="15">
      <c r="A34" t="str">
        <f t="shared" si="22"/>
        <v>S</v>
      </c>
      <c r="B34">
        <f ca="1" t="shared" si="2"/>
        <v>2</v>
      </c>
      <c r="C34">
        <f ca="1" t="shared" si="3"/>
        <v>2</v>
      </c>
      <c r="D34">
        <f t="shared" si="4"/>
        <v>3</v>
      </c>
      <c r="E34" t="e">
        <f ca="1">IF($C34=1,OFFSET(E34,-1,0)+MAX(1,COUNTIF('[1]QCI'!$A$13:$A$24,OFFSET('[1]ORÇAMENTO'!E31,-1,0))),OFFSET(E34,-1,0))</f>
        <v>#VALUE!</v>
      </c>
      <c r="F34">
        <f ca="1" t="shared" si="5"/>
        <v>1</v>
      </c>
      <c r="G34">
        <f ca="1" t="shared" si="6"/>
        <v>0</v>
      </c>
      <c r="H34">
        <f ca="1" t="shared" si="7"/>
        <v>0</v>
      </c>
      <c r="I34">
        <f ca="1" t="shared" si="8"/>
        <v>0</v>
      </c>
      <c r="J34">
        <f ca="1" t="shared" si="9"/>
        <v>3</v>
      </c>
      <c r="K34">
        <f ca="1">IF(OR($C34="S",$C34=0),0,MATCH(OFFSET($D34,0,$C34)+IF($C34&lt;&gt;1,1,COUNTIF('[1]QCI'!$A$13:$A$24,'[1]ORÇAMENTO'!E31)),OFFSET($D34,1,$C34,ROW($C$223)-ROW($C34)),0))</f>
        <v>14</v>
      </c>
      <c r="L34" s="53" t="str">
        <f t="shared" si="10"/>
        <v>F</v>
      </c>
      <c r="M34" s="54" t="s">
        <v>7</v>
      </c>
      <c r="N34" s="55" t="str">
        <f t="shared" si="11"/>
        <v>Nível 2</v>
      </c>
      <c r="O34" s="56" t="s">
        <v>256</v>
      </c>
      <c r="P34" s="57" t="s">
        <v>62</v>
      </c>
      <c r="Q34" s="58"/>
      <c r="R34" s="59" t="s">
        <v>67</v>
      </c>
      <c r="S34" s="60" t="str">
        <f t="shared" si="23"/>
        <v>-</v>
      </c>
      <c r="T34" s="61" t="e">
        <f ca="1">OFFSET('[1]CÁLCULO'!H$15,ROW($T34)-ROW(T$15),0)</f>
        <v>#VALUE!</v>
      </c>
      <c r="U34" s="62"/>
      <c r="V34" s="63" t="s">
        <v>10</v>
      </c>
      <c r="W34" s="61">
        <f t="shared" si="24"/>
        <v>0</v>
      </c>
      <c r="X34" s="64">
        <f>ROUND(SUM(X35:X36,2),2)</f>
        <v>2</v>
      </c>
      <c r="Y34" s="65" t="s">
        <v>63</v>
      </c>
      <c r="Z34">
        <f t="shared" si="13"/>
      </c>
      <c r="AA34" s="66">
        <f>IF($C34="S",IF($Z34="CP",$X34,IF($Z34="RA",(($X34)*'[1]QCI'!$AA$3),0)),SomaAgrup)</f>
        <v>0</v>
      </c>
      <c r="AB34" s="67">
        <f t="shared" si="25"/>
        <v>0</v>
      </c>
      <c r="AC34" s="68" t="e">
        <f t="shared" si="26"/>
        <v>#VALUE!</v>
      </c>
      <c r="AD34" s="8" t="e">
        <f ca="1">IF(C34&lt;=CRONO.NivelExibicao,MAX($AD$15:OFFSET(AD34,-1,0))+IF($C34&lt;&gt;1,1,MAX(1,COUNTIF('[1]QCI'!$A$13:$A$24,OFFSET($E34,-1,0)))),"")</f>
        <v>#VALUE!</v>
      </c>
      <c r="AE34" s="18" t="b">
        <f t="shared" si="27"/>
        <v>0</v>
      </c>
      <c r="AF34" s="69" t="e">
        <f ca="1" t="shared" si="28"/>
        <v>#VALUE!</v>
      </c>
      <c r="AG34" s="70" t="e">
        <f t="shared" si="29"/>
        <v>#VALUE!</v>
      </c>
      <c r="AH34" s="71">
        <f t="shared" si="30"/>
        <v>0.2282</v>
      </c>
      <c r="AJ34" s="72"/>
      <c r="AL34" s="73"/>
      <c r="AM34" s="74">
        <f t="shared" si="0"/>
        <v>2</v>
      </c>
      <c r="AN34" s="75">
        <f t="shared" si="31"/>
        <v>0</v>
      </c>
    </row>
    <row r="35" spans="1:40" ht="30">
      <c r="A35" t="str">
        <f t="shared" si="22"/>
        <v>S</v>
      </c>
      <c r="B35">
        <f ca="1" t="shared" si="2"/>
        <v>2</v>
      </c>
      <c r="C35" t="str">
        <f ca="1" t="shared" si="3"/>
        <v>S</v>
      </c>
      <c r="D35">
        <f t="shared" si="4"/>
        <v>0</v>
      </c>
      <c r="E35" t="e">
        <f ca="1">IF($C35=1,OFFSET(E35,-1,0)+MAX(1,COUNTIF('[1]QCI'!$A$13:$A$24,OFFSET('[1]ORÇAMENTO'!E32,-1,0))),OFFSET(E35,-1,0))</f>
        <v>#VALUE!</v>
      </c>
      <c r="F35">
        <f ca="1" t="shared" si="5"/>
        <v>1</v>
      </c>
      <c r="G35">
        <f ca="1" t="shared" si="6"/>
        <v>0</v>
      </c>
      <c r="H35">
        <f ca="1" t="shared" si="7"/>
        <v>0</v>
      </c>
      <c r="I35">
        <f ca="1" t="shared" si="8"/>
        <v>0</v>
      </c>
      <c r="J35">
        <f ca="1" t="shared" si="9"/>
        <v>0</v>
      </c>
      <c r="K35">
        <f ca="1">IF(OR($C35="S",$C35=0),0,MATCH(OFFSET($D35,0,$C35)+IF($C35&lt;&gt;1,1,COUNTIF('[1]QCI'!$A$13:$A$24,'[1]ORÇAMENTO'!E32)),OFFSET($D35,1,$C35,ROW($C$223)-ROW($C35)),0))</f>
        <v>0</v>
      </c>
      <c r="L35" s="53">
        <f t="shared" si="10"/>
      </c>
      <c r="M35" s="54" t="s">
        <v>7</v>
      </c>
      <c r="N35" s="55" t="str">
        <f t="shared" si="11"/>
        <v>Serviço</v>
      </c>
      <c r="O35" s="56" t="s">
        <v>257</v>
      </c>
      <c r="P35" s="57" t="s">
        <v>62</v>
      </c>
      <c r="Q35" s="58" t="s">
        <v>134</v>
      </c>
      <c r="R35" s="59" t="s">
        <v>127</v>
      </c>
      <c r="S35" s="60" t="s">
        <v>141</v>
      </c>
      <c r="T35" s="61">
        <f>AJ35</f>
        <v>21.47</v>
      </c>
      <c r="U35" s="62"/>
      <c r="V35" s="63" t="s">
        <v>10</v>
      </c>
      <c r="W35" s="61">
        <f t="shared" si="24"/>
        <v>0</v>
      </c>
      <c r="X35" s="64">
        <f t="shared" si="32"/>
        <v>0</v>
      </c>
      <c r="Y35" s="65" t="s">
        <v>63</v>
      </c>
      <c r="Z35">
        <f t="shared" si="13"/>
      </c>
      <c r="AA35" s="66">
        <f>IF($C35="S",IF($Z35="CP",$X35,IF($Z35="RA",(($X35)*'[1]QCI'!$AA$3),0)),SomaAgrup)</f>
        <v>0</v>
      </c>
      <c r="AB35" s="67">
        <f t="shared" si="25"/>
        <v>0</v>
      </c>
      <c r="AC35" s="68">
        <f t="shared" si="26"/>
      </c>
      <c r="AD35" s="8">
        <f ca="1">IF(C35&lt;=CRONO.NivelExibicao,MAX($AD$15:OFFSET(AD35,-1,0))+IF($C35&lt;&gt;1,1,MAX(1,COUNTIF('[1]QCI'!$A$13:$A$24,OFFSET($E35,-1,0)))),"")</f>
      </c>
      <c r="AE35" s="18" t="str">
        <f t="shared" si="27"/>
        <v>SINAPI  97647 </v>
      </c>
      <c r="AF35" s="69" t="e">
        <f ca="1" t="shared" si="28"/>
        <v>#VALUE!</v>
      </c>
      <c r="AG35" s="70">
        <v>2.81</v>
      </c>
      <c r="AH35" s="71">
        <f t="shared" si="30"/>
        <v>0.2282</v>
      </c>
      <c r="AJ35" s="72">
        <v>21.47</v>
      </c>
      <c r="AL35" s="73"/>
      <c r="AM35" s="74">
        <f t="shared" si="0"/>
        <v>0</v>
      </c>
      <c r="AN35" s="75">
        <f t="shared" si="31"/>
        <v>0</v>
      </c>
    </row>
    <row r="36" spans="1:40" ht="30">
      <c r="A36" t="str">
        <f t="shared" si="22"/>
        <v>S</v>
      </c>
      <c r="B36">
        <f ca="1" t="shared" si="2"/>
        <v>2</v>
      </c>
      <c r="C36" t="str">
        <f ca="1" t="shared" si="3"/>
        <v>S</v>
      </c>
      <c r="D36">
        <f t="shared" si="4"/>
        <v>0</v>
      </c>
      <c r="E36" t="e">
        <f ca="1">IF($C36=1,OFFSET(E36,-1,0)+MAX(1,COUNTIF('[1]QCI'!$A$13:$A$24,OFFSET('[1]ORÇAMENTO'!E33,-1,0))),OFFSET(E36,-1,0))</f>
        <v>#VALUE!</v>
      </c>
      <c r="F36">
        <f ca="1" t="shared" si="5"/>
        <v>1</v>
      </c>
      <c r="G36">
        <f ca="1" t="shared" si="6"/>
        <v>0</v>
      </c>
      <c r="H36">
        <f ca="1" t="shared" si="7"/>
        <v>0</v>
      </c>
      <c r="I36">
        <f ca="1" t="shared" si="8"/>
        <v>0</v>
      </c>
      <c r="J36">
        <f ca="1" t="shared" si="9"/>
        <v>0</v>
      </c>
      <c r="K36">
        <f ca="1">IF(OR($C36="S",$C36=0),0,MATCH(OFFSET($D36,0,$C36)+IF($C36&lt;&gt;1,1,COUNTIF('[1]QCI'!$A$13:$A$24,'[1]ORÇAMENTO'!E33)),OFFSET($D36,1,$C36,ROW($C$223)-ROW($C36)),0))</f>
        <v>0</v>
      </c>
      <c r="L36" s="53">
        <f t="shared" si="10"/>
      </c>
      <c r="M36" s="54" t="s">
        <v>7</v>
      </c>
      <c r="N36" s="55" t="str">
        <f t="shared" si="11"/>
        <v>Serviço</v>
      </c>
      <c r="O36" s="56" t="s">
        <v>258</v>
      </c>
      <c r="P36" s="57" t="s">
        <v>62</v>
      </c>
      <c r="Q36" s="58" t="s">
        <v>139</v>
      </c>
      <c r="R36" s="59" t="s">
        <v>132</v>
      </c>
      <c r="S36" s="60" t="s">
        <v>141</v>
      </c>
      <c r="T36" s="61">
        <f>AJ36</f>
        <v>21.47</v>
      </c>
      <c r="U36" s="62"/>
      <c r="V36" s="63" t="s">
        <v>10</v>
      </c>
      <c r="W36" s="61">
        <f t="shared" si="24"/>
        <v>0</v>
      </c>
      <c r="X36" s="64">
        <f t="shared" si="32"/>
        <v>0</v>
      </c>
      <c r="Y36" s="65" t="s">
        <v>63</v>
      </c>
      <c r="Z36">
        <f t="shared" si="13"/>
      </c>
      <c r="AA36" s="66">
        <f>IF($C36="S",IF($Z36="CP",$X36,IF($Z36="RA",(($X36)*'[1]QCI'!$AA$3),0)),SomaAgrup)</f>
        <v>0</v>
      </c>
      <c r="AB36" s="67">
        <f t="shared" si="25"/>
        <v>0</v>
      </c>
      <c r="AC36" s="68">
        <f t="shared" si="26"/>
      </c>
      <c r="AD36" s="8">
        <f ca="1">IF(C36&lt;=CRONO.NivelExibicao,MAX($AD$15:OFFSET(AD36,-1,0))+IF($C36&lt;&gt;1,1,MAX(1,COUNTIF('[1]QCI'!$A$13:$A$24,OFFSET($E36,-1,0)))),"")</f>
      </c>
      <c r="AE36" s="18" t="str">
        <f t="shared" si="27"/>
        <v>SINAPI  94195 </v>
      </c>
      <c r="AF36" s="69" t="e">
        <f ca="1" t="shared" si="28"/>
        <v>#VALUE!</v>
      </c>
      <c r="AG36" s="70">
        <v>34.47</v>
      </c>
      <c r="AH36" s="71">
        <f t="shared" si="30"/>
        <v>0.2282</v>
      </c>
      <c r="AJ36" s="72">
        <v>21.47</v>
      </c>
      <c r="AL36" s="73"/>
      <c r="AM36" s="74">
        <f t="shared" si="0"/>
        <v>0</v>
      </c>
      <c r="AN36" s="75">
        <f t="shared" si="31"/>
        <v>0</v>
      </c>
    </row>
    <row r="37" spans="1:40" ht="15">
      <c r="A37">
        <f t="shared" si="22"/>
        <v>1</v>
      </c>
      <c r="B37">
        <f ca="1" t="shared" si="2"/>
        <v>1</v>
      </c>
      <c r="C37">
        <f ca="1" t="shared" si="3"/>
        <v>1</v>
      </c>
      <c r="D37">
        <f t="shared" si="4"/>
        <v>186</v>
      </c>
      <c r="E37" t="e">
        <f ca="1">IF($C37=1,OFFSET(E37,-1,0)+MAX(1,COUNTIF('[1]QCI'!$A$13:$A$24,OFFSET('[1]ORÇAMENTO'!E34,-1,0))),OFFSET(E37,-1,0))</f>
        <v>#VALUE!</v>
      </c>
      <c r="F37">
        <f ca="1" t="shared" si="5"/>
        <v>0</v>
      </c>
      <c r="G37">
        <f ca="1" t="shared" si="6"/>
        <v>0</v>
      </c>
      <c r="H37">
        <f ca="1" t="shared" si="7"/>
        <v>0</v>
      </c>
      <c r="I37">
        <f ca="1" t="shared" si="8"/>
        <v>0</v>
      </c>
      <c r="J37">
        <f ca="1" t="shared" si="9"/>
        <v>186</v>
      </c>
      <c r="K37" t="e">
        <f ca="1">IF(OR($C37="S",$C37=0),0,MATCH(OFFSET($D37,0,$C37)+IF($C37&lt;&gt;1,1,COUNTIF('[1]QCI'!$A$13:$A$24,'[1]ORÇAMENTO'!E34)),OFFSET($D37,1,$C37,ROW($C$223)-ROW($C37)),0))</f>
        <v>#VALUE!</v>
      </c>
      <c r="L37" s="53" t="str">
        <f t="shared" si="10"/>
        <v>F</v>
      </c>
      <c r="M37" s="54" t="s">
        <v>3</v>
      </c>
      <c r="N37" s="55" t="str">
        <f t="shared" si="11"/>
        <v>Meta</v>
      </c>
      <c r="O37" s="56" t="s">
        <v>259</v>
      </c>
      <c r="P37" s="57" t="s">
        <v>62</v>
      </c>
      <c r="Q37" s="58"/>
      <c r="R37" s="59" t="s">
        <v>75</v>
      </c>
      <c r="S37" s="60" t="str">
        <f t="shared" si="23"/>
        <v>-</v>
      </c>
      <c r="T37" s="61" t="e">
        <f ca="1">OFFSET('[1]CÁLCULO'!H$15,ROW($T37)-ROW(T$15),0)</f>
        <v>#VALUE!</v>
      </c>
      <c r="U37" s="62"/>
      <c r="V37" s="63" t="s">
        <v>10</v>
      </c>
      <c r="W37" s="61">
        <f t="shared" si="24"/>
        <v>0</v>
      </c>
      <c r="X37" s="64">
        <f>ROUND(SUM(X38),2)</f>
        <v>0</v>
      </c>
      <c r="Y37" s="65" t="s">
        <v>63</v>
      </c>
      <c r="Z37">
        <f t="shared" si="13"/>
      </c>
      <c r="AA37" s="66">
        <f>IF($C37="S",IF($Z37="CP",$X37,IF($Z37="RA",(($X37)*'[1]QCI'!$AA$3),0)),SomaAgrup)</f>
        <v>0</v>
      </c>
      <c r="AB37" s="67">
        <f t="shared" si="25"/>
        <v>0</v>
      </c>
      <c r="AC37" s="68" t="e">
        <f t="shared" si="26"/>
        <v>#VALUE!</v>
      </c>
      <c r="AD37" s="8" t="e">
        <f ca="1">IF(C37&lt;=CRONO.NivelExibicao,MAX($AD$15:OFFSET(AD37,-1,0))+IF($C37&lt;&gt;1,1,MAX(1,COUNTIF('[1]QCI'!$A$13:$A$24,OFFSET($E37,-1,0)))),"")</f>
        <v>#VALUE!</v>
      </c>
      <c r="AE37" s="18" t="b">
        <f t="shared" si="27"/>
        <v>0</v>
      </c>
      <c r="AF37" s="69" t="e">
        <f ca="1" t="shared" si="28"/>
        <v>#VALUE!</v>
      </c>
      <c r="AG37" s="70" t="e">
        <f t="shared" si="29"/>
        <v>#VALUE!</v>
      </c>
      <c r="AH37" s="71">
        <f t="shared" si="30"/>
        <v>0.2282</v>
      </c>
      <c r="AJ37" s="72"/>
      <c r="AL37" s="73"/>
      <c r="AM37" s="74">
        <f t="shared" si="0"/>
        <v>0</v>
      </c>
      <c r="AN37" s="75">
        <f t="shared" si="31"/>
        <v>0</v>
      </c>
    </row>
    <row r="38" spans="1:40" ht="15">
      <c r="A38" t="str">
        <f t="shared" si="22"/>
        <v>S</v>
      </c>
      <c r="B38">
        <f ca="1" t="shared" si="2"/>
        <v>2</v>
      </c>
      <c r="C38">
        <f ca="1" t="shared" si="3"/>
        <v>2</v>
      </c>
      <c r="D38">
        <f t="shared" si="4"/>
        <v>6</v>
      </c>
      <c r="E38" t="e">
        <f ca="1">IF($C38=1,OFFSET(E38,-1,0)+MAX(1,COUNTIF('[1]QCI'!$A$13:$A$24,OFFSET('[1]ORÇAMENTO'!E35,-1,0))),OFFSET(E38,-1,0))</f>
        <v>#VALUE!</v>
      </c>
      <c r="F38">
        <f ca="1" t="shared" si="5"/>
        <v>1</v>
      </c>
      <c r="G38">
        <f ca="1" t="shared" si="6"/>
        <v>0</v>
      </c>
      <c r="H38">
        <f ca="1" t="shared" si="7"/>
        <v>0</v>
      </c>
      <c r="I38">
        <f ca="1" t="shared" si="8"/>
        <v>0</v>
      </c>
      <c r="J38">
        <f ca="1" t="shared" si="9"/>
        <v>6</v>
      </c>
      <c r="K38">
        <f ca="1">IF(OR($C38="S",$C38=0),0,MATCH(OFFSET($D38,0,$C38)+IF($C38&lt;&gt;1,1,COUNTIF('[1]QCI'!$A$13:$A$24,'[1]ORÇAMENTO'!E35)),OFFSET($D38,1,$C38,ROW($C$223)-ROW($C38)),0))</f>
        <v>10</v>
      </c>
      <c r="L38" s="53" t="str">
        <f t="shared" si="10"/>
        <v>F</v>
      </c>
      <c r="M38" s="54" t="s">
        <v>7</v>
      </c>
      <c r="N38" s="55" t="str">
        <f t="shared" si="11"/>
        <v>Nível 2</v>
      </c>
      <c r="O38" s="56" t="s">
        <v>260</v>
      </c>
      <c r="P38" s="57" t="s">
        <v>62</v>
      </c>
      <c r="Q38" s="58"/>
      <c r="R38" s="59" t="s">
        <v>67</v>
      </c>
      <c r="S38" s="60" t="str">
        <f t="shared" si="23"/>
        <v>-</v>
      </c>
      <c r="T38" s="61" t="e">
        <f ca="1">OFFSET('[1]CÁLCULO'!H$15,ROW($T38)-ROW(T$15),0)</f>
        <v>#VALUE!</v>
      </c>
      <c r="U38" s="62"/>
      <c r="V38" s="63" t="s">
        <v>10</v>
      </c>
      <c r="W38" s="61">
        <f t="shared" si="24"/>
        <v>0</v>
      </c>
      <c r="X38" s="64">
        <f>ROUND(SUM(X39:X43),2)</f>
        <v>0</v>
      </c>
      <c r="Y38" s="65" t="s">
        <v>63</v>
      </c>
      <c r="Z38">
        <f t="shared" si="13"/>
      </c>
      <c r="AA38" s="66">
        <f>IF($C38="S",IF($Z38="CP",$X38,IF($Z38="RA",(($X38)*'[1]QCI'!$AA$3),0)),SomaAgrup)</f>
        <v>0</v>
      </c>
      <c r="AB38" s="67">
        <f t="shared" si="25"/>
        <v>0</v>
      </c>
      <c r="AC38" s="68" t="e">
        <f t="shared" si="26"/>
        <v>#VALUE!</v>
      </c>
      <c r="AD38" s="8" t="e">
        <f ca="1">IF(C38&lt;=CRONO.NivelExibicao,MAX($AD$15:OFFSET(AD38,-1,0))+IF($C38&lt;&gt;1,1,MAX(1,COUNTIF('[1]QCI'!$A$13:$A$24,OFFSET($E38,-1,0)))),"")</f>
        <v>#VALUE!</v>
      </c>
      <c r="AE38" s="18" t="b">
        <f t="shared" si="27"/>
        <v>0</v>
      </c>
      <c r="AF38" s="69" t="e">
        <f ca="1" t="shared" si="28"/>
        <v>#VALUE!</v>
      </c>
      <c r="AG38" s="70" t="e">
        <f t="shared" si="29"/>
        <v>#VALUE!</v>
      </c>
      <c r="AH38" s="71">
        <f t="shared" si="30"/>
        <v>0.2282</v>
      </c>
      <c r="AJ38" s="72"/>
      <c r="AL38" s="73"/>
      <c r="AM38" s="74">
        <f t="shared" si="0"/>
        <v>0</v>
      </c>
      <c r="AN38" s="75">
        <f t="shared" si="31"/>
        <v>0</v>
      </c>
    </row>
    <row r="39" spans="1:40" ht="30">
      <c r="A39" t="str">
        <f t="shared" si="22"/>
        <v>S</v>
      </c>
      <c r="B39">
        <f ca="1" t="shared" si="2"/>
        <v>2</v>
      </c>
      <c r="C39" t="str">
        <f ca="1" t="shared" si="3"/>
        <v>S</v>
      </c>
      <c r="D39">
        <f t="shared" si="4"/>
        <v>0</v>
      </c>
      <c r="E39" t="e">
        <f ca="1">IF($C39=1,OFFSET(E39,-1,0)+MAX(1,COUNTIF('[1]QCI'!$A$13:$A$24,OFFSET('[1]ORÇAMENTO'!E36,-1,0))),OFFSET(E39,-1,0))</f>
        <v>#VALUE!</v>
      </c>
      <c r="F39">
        <f ca="1" t="shared" si="5"/>
        <v>1</v>
      </c>
      <c r="G39">
        <f ca="1" t="shared" si="6"/>
        <v>0</v>
      </c>
      <c r="H39">
        <f ca="1" t="shared" si="7"/>
        <v>0</v>
      </c>
      <c r="I39">
        <f ca="1" t="shared" si="8"/>
        <v>0</v>
      </c>
      <c r="J39">
        <f ca="1" t="shared" si="9"/>
        <v>0</v>
      </c>
      <c r="K39">
        <f ca="1">IF(OR($C39="S",$C39=0),0,MATCH(OFFSET($D39,0,$C39)+IF($C39&lt;&gt;1,1,COUNTIF('[1]QCI'!$A$13:$A$24,'[1]ORÇAMENTO'!E36)),OFFSET($D39,1,$C39,ROW($C$223)-ROW($C39)),0))</f>
        <v>0</v>
      </c>
      <c r="L39" s="53">
        <f t="shared" si="10"/>
      </c>
      <c r="M39" s="54" t="s">
        <v>7</v>
      </c>
      <c r="N39" s="55" t="str">
        <f t="shared" si="11"/>
        <v>Serviço</v>
      </c>
      <c r="O39" s="56" t="s">
        <v>261</v>
      </c>
      <c r="P39" s="57" t="s">
        <v>62</v>
      </c>
      <c r="Q39" s="58" t="s">
        <v>134</v>
      </c>
      <c r="R39" s="59" t="s">
        <v>127</v>
      </c>
      <c r="S39" s="60" t="s">
        <v>141</v>
      </c>
      <c r="T39" s="61">
        <f>AJ39</f>
        <v>10.26</v>
      </c>
      <c r="U39" s="62"/>
      <c r="V39" s="63" t="s">
        <v>10</v>
      </c>
      <c r="W39" s="61">
        <f t="shared" si="24"/>
        <v>0</v>
      </c>
      <c r="X39" s="64">
        <f t="shared" si="32"/>
        <v>0</v>
      </c>
      <c r="Y39" s="65" t="s">
        <v>63</v>
      </c>
      <c r="Z39">
        <f t="shared" si="13"/>
      </c>
      <c r="AA39" s="66">
        <f>IF($C39="S",IF($Z39="CP",$X39,IF($Z39="RA",(($X39)*'[1]QCI'!$AA$3),0)),SomaAgrup)</f>
        <v>0</v>
      </c>
      <c r="AB39" s="67">
        <f t="shared" si="25"/>
        <v>0</v>
      </c>
      <c r="AC39" s="68">
        <f t="shared" si="26"/>
      </c>
      <c r="AD39" s="8">
        <f ca="1">IF(C39&lt;=CRONO.NivelExibicao,MAX($AD$15:OFFSET(AD39,-1,0))+IF($C39&lt;&gt;1,1,MAX(1,COUNTIF('[1]QCI'!$A$13:$A$24,OFFSET($E39,-1,0)))),"")</f>
      </c>
      <c r="AE39" s="18" t="str">
        <f t="shared" si="27"/>
        <v>SINAPI  97647 </v>
      </c>
      <c r="AF39" s="69" t="e">
        <f ca="1" t="shared" si="28"/>
        <v>#VALUE!</v>
      </c>
      <c r="AG39" s="70">
        <v>2.81</v>
      </c>
      <c r="AH39" s="71">
        <f t="shared" si="30"/>
        <v>0.2282</v>
      </c>
      <c r="AJ39" s="72">
        <v>10.26</v>
      </c>
      <c r="AL39" s="73"/>
      <c r="AM39" s="74">
        <f t="shared" si="0"/>
        <v>0</v>
      </c>
      <c r="AN39" s="75">
        <f t="shared" si="31"/>
        <v>0</v>
      </c>
    </row>
    <row r="40" spans="1:40" ht="30">
      <c r="A40" t="str">
        <f t="shared" si="22"/>
        <v>S</v>
      </c>
      <c r="B40">
        <f ca="1" t="shared" si="2"/>
        <v>2</v>
      </c>
      <c r="C40" t="str">
        <f ca="1" t="shared" si="3"/>
        <v>S</v>
      </c>
      <c r="D40">
        <f t="shared" si="4"/>
        <v>0</v>
      </c>
      <c r="E40" t="e">
        <f ca="1">IF($C40=1,OFFSET(E40,-1,0)+MAX(1,COUNTIF('[1]QCI'!$A$13:$A$24,OFFSET('[1]ORÇAMENTO'!E37,-1,0))),OFFSET(E40,-1,0))</f>
        <v>#VALUE!</v>
      </c>
      <c r="F40">
        <f ca="1" t="shared" si="5"/>
        <v>1</v>
      </c>
      <c r="G40">
        <f ca="1" t="shared" si="6"/>
        <v>0</v>
      </c>
      <c r="H40">
        <f ca="1" t="shared" si="7"/>
        <v>0</v>
      </c>
      <c r="I40">
        <f ca="1" t="shared" si="8"/>
        <v>0</v>
      </c>
      <c r="J40">
        <f ca="1" t="shared" si="9"/>
        <v>0</v>
      </c>
      <c r="K40">
        <f ca="1">IF(OR($C40="S",$C40=0),0,MATCH(OFFSET($D40,0,$C40)+IF($C40&lt;&gt;1,1,COUNTIF('[1]QCI'!$A$13:$A$24,'[1]ORÇAMENTO'!E37)),OFFSET($D40,1,$C40,ROW($C$223)-ROW($C40)),0))</f>
        <v>0</v>
      </c>
      <c r="L40" s="53">
        <f t="shared" si="10"/>
      </c>
      <c r="M40" s="54" t="s">
        <v>7</v>
      </c>
      <c r="N40" s="55" t="str">
        <f t="shared" si="11"/>
        <v>Serviço</v>
      </c>
      <c r="O40" s="56" t="s">
        <v>262</v>
      </c>
      <c r="P40" s="57" t="s">
        <v>62</v>
      </c>
      <c r="Q40" s="58" t="s">
        <v>135</v>
      </c>
      <c r="R40" s="59" t="s">
        <v>128</v>
      </c>
      <c r="S40" s="60" t="s">
        <v>141</v>
      </c>
      <c r="T40" s="61">
        <f>AJ40</f>
        <v>10.26</v>
      </c>
      <c r="U40" s="62"/>
      <c r="V40" s="63" t="s">
        <v>10</v>
      </c>
      <c r="W40" s="61">
        <f t="shared" si="24"/>
        <v>0</v>
      </c>
      <c r="X40" s="64">
        <f t="shared" si="32"/>
        <v>0</v>
      </c>
      <c r="Y40" s="65" t="s">
        <v>63</v>
      </c>
      <c r="Z40">
        <f t="shared" si="13"/>
      </c>
      <c r="AA40" s="66">
        <f>IF($C40="S",IF($Z40="CP",$X40,IF($Z40="RA",(($X40)*'[1]QCI'!$AA$3),0)),SomaAgrup)</f>
        <v>0</v>
      </c>
      <c r="AB40" s="67">
        <f t="shared" si="25"/>
        <v>0</v>
      </c>
      <c r="AC40" s="68">
        <f t="shared" si="26"/>
      </c>
      <c r="AD40" s="8">
        <f ca="1">IF(C40&lt;=CRONO.NivelExibicao,MAX($AD$15:OFFSET(AD40,-1,0))+IF($C40&lt;&gt;1,1,MAX(1,COUNTIF('[1]QCI'!$A$13:$A$24,OFFSET($E40,-1,0)))),"")</f>
      </c>
      <c r="AE40" s="18" t="str">
        <f t="shared" si="27"/>
        <v>SINAPI  97650 </v>
      </c>
      <c r="AF40" s="69" t="e">
        <f ca="1" t="shared" si="28"/>
        <v>#VALUE!</v>
      </c>
      <c r="AG40" s="70">
        <v>6.04</v>
      </c>
      <c r="AH40" s="71">
        <f t="shared" si="30"/>
        <v>0.2282</v>
      </c>
      <c r="AJ40" s="72">
        <v>10.26</v>
      </c>
      <c r="AL40" s="73"/>
      <c r="AM40" s="74">
        <f t="shared" si="0"/>
        <v>0</v>
      </c>
      <c r="AN40" s="75">
        <f t="shared" si="31"/>
        <v>0</v>
      </c>
    </row>
    <row r="41" spans="1:40" ht="45">
      <c r="A41" t="str">
        <f t="shared" si="22"/>
        <v>S</v>
      </c>
      <c r="B41">
        <f ca="1" t="shared" si="2"/>
        <v>2</v>
      </c>
      <c r="C41" t="str">
        <f ca="1" t="shared" si="3"/>
        <v>S</v>
      </c>
      <c r="D41">
        <f t="shared" si="4"/>
        <v>0</v>
      </c>
      <c r="E41" t="e">
        <f ca="1">IF($C41=1,OFFSET(E41,-1,0)+MAX(1,COUNTIF('[1]QCI'!$A$13:$A$24,OFFSET('[1]ORÇAMENTO'!E38,-1,0))),OFFSET(E41,-1,0))</f>
        <v>#VALUE!</v>
      </c>
      <c r="F41">
        <f ca="1" t="shared" si="5"/>
        <v>1</v>
      </c>
      <c r="G41">
        <f ca="1" t="shared" si="6"/>
        <v>0</v>
      </c>
      <c r="H41">
        <f ca="1" t="shared" si="7"/>
        <v>0</v>
      </c>
      <c r="I41">
        <f ca="1" t="shared" si="8"/>
        <v>0</v>
      </c>
      <c r="J41">
        <f ca="1" t="shared" si="9"/>
        <v>0</v>
      </c>
      <c r="K41">
        <f ca="1">IF(OR($C41="S",$C41=0),0,MATCH(OFFSET($D41,0,$C41)+IF($C41&lt;&gt;1,1,COUNTIF('[1]QCI'!$A$13:$A$24,'[1]ORÇAMENTO'!E38)),OFFSET($D41,1,$C41,ROW($C$223)-ROW($C41)),0))</f>
        <v>0</v>
      </c>
      <c r="L41" s="53">
        <f t="shared" si="10"/>
      </c>
      <c r="M41" s="54" t="s">
        <v>7</v>
      </c>
      <c r="N41" s="55" t="str">
        <f t="shared" si="11"/>
        <v>Serviço</v>
      </c>
      <c r="O41" s="56" t="s">
        <v>263</v>
      </c>
      <c r="P41" s="57" t="s">
        <v>62</v>
      </c>
      <c r="Q41" s="58" t="s">
        <v>138</v>
      </c>
      <c r="R41" s="59" t="s">
        <v>131</v>
      </c>
      <c r="S41" s="60" t="s">
        <v>141</v>
      </c>
      <c r="T41" s="61">
        <f>AJ41</f>
        <v>10.26</v>
      </c>
      <c r="U41" s="62"/>
      <c r="V41" s="63" t="s">
        <v>10</v>
      </c>
      <c r="W41" s="61">
        <f t="shared" si="24"/>
        <v>0</v>
      </c>
      <c r="X41" s="64">
        <f t="shared" si="32"/>
        <v>0</v>
      </c>
      <c r="Y41" s="65" t="s">
        <v>63</v>
      </c>
      <c r="Z41">
        <f t="shared" si="13"/>
      </c>
      <c r="AA41" s="66">
        <f>IF($C41="S",IF($Z41="CP",$X41,IF($Z41="RA",(($X41)*'[1]QCI'!$AA$3),0)),SomaAgrup)</f>
        <v>0</v>
      </c>
      <c r="AB41" s="67">
        <f t="shared" si="25"/>
        <v>0</v>
      </c>
      <c r="AC41" s="68">
        <f t="shared" si="26"/>
      </c>
      <c r="AD41" s="8">
        <f ca="1">IF(C41&lt;=CRONO.NivelExibicao,MAX($AD$15:OFFSET(AD41,-1,0))+IF($C41&lt;&gt;1,1,MAX(1,COUNTIF('[1]QCI'!$A$13:$A$24,OFFSET($E41,-1,0)))),"")</f>
      </c>
      <c r="AE41" s="18" t="str">
        <f t="shared" si="27"/>
        <v>SINAPI  92539 </v>
      </c>
      <c r="AF41" s="69" t="e">
        <f ca="1" t="shared" si="28"/>
        <v>#VALUE!</v>
      </c>
      <c r="AG41" s="70">
        <v>80.97</v>
      </c>
      <c r="AH41" s="71">
        <f t="shared" si="30"/>
        <v>0.2282</v>
      </c>
      <c r="AJ41" s="72">
        <v>10.26</v>
      </c>
      <c r="AL41" s="73"/>
      <c r="AM41" s="74">
        <f t="shared" si="0"/>
        <v>0</v>
      </c>
      <c r="AN41" s="75">
        <f t="shared" si="31"/>
        <v>0</v>
      </c>
    </row>
    <row r="42" spans="1:40" ht="30">
      <c r="A42" t="str">
        <f t="shared" si="22"/>
        <v>S</v>
      </c>
      <c r="B42">
        <f ca="1" t="shared" si="2"/>
        <v>2</v>
      </c>
      <c r="C42" t="str">
        <f ca="1" t="shared" si="3"/>
        <v>S</v>
      </c>
      <c r="D42">
        <f t="shared" si="4"/>
        <v>0</v>
      </c>
      <c r="E42" t="e">
        <f ca="1">IF($C42=1,OFFSET(E42,-1,0)+MAX(1,COUNTIF('[1]QCI'!$A$13:$A$24,OFFSET('[1]ORÇAMENTO'!E39,-1,0))),OFFSET(E42,-1,0))</f>
        <v>#VALUE!</v>
      </c>
      <c r="F42">
        <f ca="1" t="shared" si="5"/>
        <v>1</v>
      </c>
      <c r="G42">
        <f ca="1" t="shared" si="6"/>
        <v>0</v>
      </c>
      <c r="H42">
        <f ca="1" t="shared" si="7"/>
        <v>0</v>
      </c>
      <c r="I42">
        <f ca="1" t="shared" si="8"/>
        <v>0</v>
      </c>
      <c r="J42">
        <f ca="1" t="shared" si="9"/>
        <v>0</v>
      </c>
      <c r="K42">
        <f ca="1">IF(OR($C42="S",$C42=0),0,MATCH(OFFSET($D42,0,$C42)+IF($C42&lt;&gt;1,1,COUNTIF('[1]QCI'!$A$13:$A$24,'[1]ORÇAMENTO'!E39)),OFFSET($D42,1,$C42,ROW($C$223)-ROW($C42)),0))</f>
        <v>0</v>
      </c>
      <c r="L42" s="53">
        <f t="shared" si="10"/>
      </c>
      <c r="M42" s="54" t="s">
        <v>7</v>
      </c>
      <c r="N42" s="55" t="str">
        <f t="shared" si="11"/>
        <v>Serviço</v>
      </c>
      <c r="O42" s="56" t="s">
        <v>264</v>
      </c>
      <c r="P42" s="57" t="s">
        <v>62</v>
      </c>
      <c r="Q42" s="58" t="s">
        <v>139</v>
      </c>
      <c r="R42" s="59" t="s">
        <v>132</v>
      </c>
      <c r="S42" s="60" t="s">
        <v>141</v>
      </c>
      <c r="T42" s="61">
        <f>AJ42</f>
        <v>10.26</v>
      </c>
      <c r="U42" s="62"/>
      <c r="V42" s="63" t="s">
        <v>10</v>
      </c>
      <c r="W42" s="61">
        <f t="shared" si="24"/>
        <v>0</v>
      </c>
      <c r="X42" s="64">
        <f t="shared" si="32"/>
        <v>0</v>
      </c>
      <c r="Y42" s="65" t="s">
        <v>63</v>
      </c>
      <c r="Z42">
        <f t="shared" si="13"/>
      </c>
      <c r="AA42" s="66">
        <f>IF($C42="S",IF($Z42="CP",$X42,IF($Z42="RA",(($X42)*'[1]QCI'!$AA$3),0)),SomaAgrup)</f>
        <v>0</v>
      </c>
      <c r="AB42" s="67">
        <f t="shared" si="25"/>
        <v>0</v>
      </c>
      <c r="AC42" s="68">
        <f t="shared" si="26"/>
      </c>
      <c r="AD42" s="8">
        <f ca="1">IF(C42&lt;=CRONO.NivelExibicao,MAX($AD$15:OFFSET(AD42,-1,0))+IF($C42&lt;&gt;1,1,MAX(1,COUNTIF('[1]QCI'!$A$13:$A$24,OFFSET($E42,-1,0)))),"")</f>
      </c>
      <c r="AE42" s="18" t="str">
        <f t="shared" si="27"/>
        <v>SINAPI  94195 </v>
      </c>
      <c r="AF42" s="69" t="e">
        <f ca="1" t="shared" si="28"/>
        <v>#VALUE!</v>
      </c>
      <c r="AG42" s="70">
        <v>34.47</v>
      </c>
      <c r="AH42" s="71">
        <f t="shared" si="30"/>
        <v>0.2282</v>
      </c>
      <c r="AJ42" s="72">
        <v>10.26</v>
      </c>
      <c r="AL42" s="73"/>
      <c r="AM42" s="74">
        <f t="shared" si="0"/>
        <v>0</v>
      </c>
      <c r="AN42" s="75">
        <f t="shared" si="31"/>
        <v>0</v>
      </c>
    </row>
    <row r="43" spans="1:40" ht="45">
      <c r="A43" t="str">
        <f t="shared" si="22"/>
        <v>S</v>
      </c>
      <c r="B43">
        <f ca="1" t="shared" si="2"/>
        <v>2</v>
      </c>
      <c r="C43" t="str">
        <f ca="1" t="shared" si="3"/>
        <v>S</v>
      </c>
      <c r="D43">
        <f t="shared" si="4"/>
        <v>0</v>
      </c>
      <c r="E43" t="e">
        <f ca="1">IF($C43=1,OFFSET(E43,-1,0)+MAX(1,COUNTIF('[1]QCI'!$A$13:$A$24,OFFSET('[1]ORÇAMENTO'!E39,-1,0))),OFFSET(E43,-1,0))</f>
        <v>#VALUE!</v>
      </c>
      <c r="F43">
        <f ca="1" t="shared" si="5"/>
        <v>1</v>
      </c>
      <c r="G43">
        <f ca="1" t="shared" si="6"/>
        <v>0</v>
      </c>
      <c r="H43">
        <f ca="1" t="shared" si="7"/>
        <v>0</v>
      </c>
      <c r="I43">
        <f ca="1" t="shared" si="8"/>
        <v>0</v>
      </c>
      <c r="J43">
        <f ca="1" t="shared" si="9"/>
        <v>0</v>
      </c>
      <c r="K43">
        <f ca="1">IF(OR($C43="S",$C43=0),0,MATCH(OFFSET($D43,0,$C43)+IF($C43&lt;&gt;1,1,COUNTIF('[1]QCI'!$A$13:$A$24,'[1]ORÇAMENTO'!E39)),OFFSET($D43,1,$C43,ROW($C$223)-ROW($C43)),0))</f>
        <v>0</v>
      </c>
      <c r="L43" s="53">
        <f t="shared" si="10"/>
      </c>
      <c r="M43" s="54" t="s">
        <v>7</v>
      </c>
      <c r="N43" s="55" t="str">
        <f t="shared" si="11"/>
        <v>Serviço</v>
      </c>
      <c r="O43" s="56" t="s">
        <v>265</v>
      </c>
      <c r="P43" s="57" t="s">
        <v>62</v>
      </c>
      <c r="Q43" s="58" t="s">
        <v>140</v>
      </c>
      <c r="R43" s="59" t="s">
        <v>133</v>
      </c>
      <c r="S43" s="60" t="s">
        <v>143</v>
      </c>
      <c r="T43" s="61">
        <f>AJ43</f>
        <v>4</v>
      </c>
      <c r="U43" s="62"/>
      <c r="V43" s="63" t="s">
        <v>10</v>
      </c>
      <c r="W43" s="61">
        <f t="shared" si="24"/>
        <v>0</v>
      </c>
      <c r="X43" s="64">
        <f t="shared" si="32"/>
        <v>0</v>
      </c>
      <c r="Y43" s="65" t="s">
        <v>63</v>
      </c>
      <c r="Z43">
        <f t="shared" si="13"/>
      </c>
      <c r="AA43" s="66">
        <f>IF($C43="S",IF($Z43="CP",$X43,IF($Z43="RA",(($X43)*'[1]QCI'!$AA$3),0)),SomaAgrup)</f>
        <v>0</v>
      </c>
      <c r="AB43" s="67">
        <f t="shared" si="25"/>
        <v>0</v>
      </c>
      <c r="AC43" s="68">
        <f t="shared" si="26"/>
      </c>
      <c r="AD43" s="8">
        <f ca="1">IF(C43&lt;=CRONO.NivelExibicao,MAX($AD$15:OFFSET(AD43,-1,0))+IF($C43&lt;&gt;1,1,MAX(1,COUNTIF('[1]QCI'!$A$13:$A$24,OFFSET($E43,-1,0)))),"")</f>
      </c>
      <c r="AE43" s="18" t="str">
        <f t="shared" si="27"/>
        <v>SINAPI  94221 </v>
      </c>
      <c r="AF43" s="69" t="e">
        <f ca="1" t="shared" si="28"/>
        <v>#VALUE!</v>
      </c>
      <c r="AG43" s="70">
        <v>23.96</v>
      </c>
      <c r="AH43" s="71">
        <f t="shared" si="30"/>
        <v>0.2282</v>
      </c>
      <c r="AJ43" s="72">
        <v>4</v>
      </c>
      <c r="AL43" s="73"/>
      <c r="AM43" s="74">
        <f t="shared" si="0"/>
        <v>0</v>
      </c>
      <c r="AN43" s="75">
        <f t="shared" si="31"/>
        <v>0</v>
      </c>
    </row>
    <row r="44" spans="1:40" ht="15">
      <c r="A44">
        <f t="shared" si="22"/>
        <v>1</v>
      </c>
      <c r="B44">
        <f ca="1" t="shared" si="2"/>
        <v>1</v>
      </c>
      <c r="C44">
        <f ca="1" t="shared" si="3"/>
        <v>1</v>
      </c>
      <c r="D44">
        <f t="shared" si="4"/>
        <v>179</v>
      </c>
      <c r="E44" t="e">
        <f ca="1">IF($C44=1,OFFSET(E44,-1,0)+MAX(1,COUNTIF('[1]QCI'!$A$13:$A$24,OFFSET('[1]ORÇAMENTO'!E43,-1,0))),OFFSET(E44,-1,0))</f>
        <v>#VALUE!</v>
      </c>
      <c r="F44">
        <f ca="1" t="shared" si="5"/>
        <v>0</v>
      </c>
      <c r="G44">
        <f ca="1" t="shared" si="6"/>
        <v>0</v>
      </c>
      <c r="H44">
        <f ca="1" t="shared" si="7"/>
        <v>0</v>
      </c>
      <c r="I44">
        <f ca="1" t="shared" si="8"/>
        <v>0</v>
      </c>
      <c r="J44">
        <f ca="1" t="shared" si="9"/>
        <v>179</v>
      </c>
      <c r="K44" t="e">
        <f ca="1">IF(OR($C44="S",$C44=0),0,MATCH(OFFSET($D44,0,$C44)+IF($C44&lt;&gt;1,1,COUNTIF('[1]QCI'!$A$13:$A$24,'[1]ORÇAMENTO'!E43)),OFFSET($D44,1,$C44,ROW($C$223)-ROW($C44)),0))</f>
        <v>#VALUE!</v>
      </c>
      <c r="L44" s="53" t="str">
        <f t="shared" si="10"/>
        <v>F</v>
      </c>
      <c r="M44" s="54" t="s">
        <v>3</v>
      </c>
      <c r="N44" s="55" t="str">
        <f t="shared" si="11"/>
        <v>Meta</v>
      </c>
      <c r="O44" s="56" t="s">
        <v>266</v>
      </c>
      <c r="P44" s="57" t="s">
        <v>62</v>
      </c>
      <c r="Q44" s="58"/>
      <c r="R44" s="59" t="s">
        <v>76</v>
      </c>
      <c r="S44" s="60" t="str">
        <f t="shared" si="23"/>
        <v>-</v>
      </c>
      <c r="T44" s="61" t="e">
        <f ca="1">OFFSET('[1]CÁLCULO'!H$15,ROW($T44)-ROW(T$15),0)</f>
        <v>#VALUE!</v>
      </c>
      <c r="U44" s="62"/>
      <c r="V44" s="63" t="s">
        <v>10</v>
      </c>
      <c r="W44" s="61">
        <f t="shared" si="24"/>
        <v>0</v>
      </c>
      <c r="X44" s="64">
        <f>ROUND(SUM(X45,X48),2)</f>
        <v>0</v>
      </c>
      <c r="Y44" s="65" t="s">
        <v>63</v>
      </c>
      <c r="Z44">
        <f t="shared" si="13"/>
      </c>
      <c r="AA44" s="66">
        <f>IF($C44="S",IF($Z44="CP",$X44,IF($Z44="RA",(($X44)*'[1]QCI'!$AA$3),0)),SomaAgrup)</f>
        <v>0</v>
      </c>
      <c r="AB44" s="67">
        <f t="shared" si="25"/>
        <v>0</v>
      </c>
      <c r="AC44" s="68" t="e">
        <f t="shared" si="26"/>
        <v>#VALUE!</v>
      </c>
      <c r="AD44" s="8" t="e">
        <f ca="1">IF(C44&lt;=CRONO.NivelExibicao,MAX($AD$15:OFFSET(AD44,-1,0))+IF($C44&lt;&gt;1,1,MAX(1,COUNTIF('[1]QCI'!$A$13:$A$24,OFFSET($E44,-1,0)))),"")</f>
        <v>#VALUE!</v>
      </c>
      <c r="AE44" s="18" t="b">
        <f t="shared" si="27"/>
        <v>0</v>
      </c>
      <c r="AF44" s="69" t="e">
        <f ca="1" t="shared" si="28"/>
        <v>#VALUE!</v>
      </c>
      <c r="AG44" s="70" t="e">
        <f t="shared" si="29"/>
        <v>#VALUE!</v>
      </c>
      <c r="AH44" s="71">
        <f t="shared" si="30"/>
        <v>0.2282</v>
      </c>
      <c r="AJ44" s="72"/>
      <c r="AL44" s="73"/>
      <c r="AM44" s="74">
        <f t="shared" si="0"/>
        <v>0</v>
      </c>
      <c r="AN44" s="75">
        <f t="shared" si="31"/>
        <v>0</v>
      </c>
    </row>
    <row r="45" spans="1:40" ht="15">
      <c r="A45" t="str">
        <f t="shared" si="22"/>
        <v>S</v>
      </c>
      <c r="B45">
        <f ca="1" t="shared" si="2"/>
        <v>2</v>
      </c>
      <c r="C45">
        <f ca="1" t="shared" si="3"/>
        <v>2</v>
      </c>
      <c r="D45">
        <f t="shared" si="4"/>
        <v>3</v>
      </c>
      <c r="E45" t="e">
        <f ca="1">IF($C45=1,OFFSET(E45,-1,0)+MAX(1,COUNTIF('[1]QCI'!$A$13:$A$24,OFFSET('[1]ORÇAMENTO'!E44,-1,0))),OFFSET(E45,-1,0))</f>
        <v>#VALUE!</v>
      </c>
      <c r="F45">
        <f ca="1" t="shared" si="5"/>
        <v>1</v>
      </c>
      <c r="G45">
        <f ca="1" t="shared" si="6"/>
        <v>0</v>
      </c>
      <c r="H45">
        <f ca="1" t="shared" si="7"/>
        <v>0</v>
      </c>
      <c r="I45">
        <f ca="1" t="shared" si="8"/>
        <v>0</v>
      </c>
      <c r="J45">
        <f ca="1" t="shared" si="9"/>
        <v>5</v>
      </c>
      <c r="K45">
        <f ca="1">IF(OR($C45="S",$C45=0),0,MATCH(OFFSET($D45,0,$C45)+IF($C45&lt;&gt;1,1,COUNTIF('[1]QCI'!$A$13:$A$24,'[1]ORÇAMENTO'!E44)),OFFSET($D45,1,$C45,ROW($C$223)-ROW($C45)),0))</f>
        <v>3</v>
      </c>
      <c r="L45" s="53" t="str">
        <f t="shared" si="10"/>
        <v>F</v>
      </c>
      <c r="M45" s="54" t="s">
        <v>7</v>
      </c>
      <c r="N45" s="55" t="str">
        <f t="shared" si="11"/>
        <v>Nível 2</v>
      </c>
      <c r="O45" s="56" t="s">
        <v>267</v>
      </c>
      <c r="P45" s="57" t="s">
        <v>62</v>
      </c>
      <c r="Q45" s="58"/>
      <c r="R45" s="59" t="s">
        <v>77</v>
      </c>
      <c r="S45" s="60" t="str">
        <f t="shared" si="23"/>
        <v>-</v>
      </c>
      <c r="T45" s="61" t="e">
        <f ca="1">OFFSET('[1]CÁLCULO'!H$15,ROW($T45)-ROW(T$15),0)</f>
        <v>#VALUE!</v>
      </c>
      <c r="U45" s="62"/>
      <c r="V45" s="63" t="s">
        <v>10</v>
      </c>
      <c r="W45" s="61">
        <f t="shared" si="24"/>
        <v>0</v>
      </c>
      <c r="X45" s="64">
        <f>ROUND(SUM(X46:X47),2)</f>
        <v>0</v>
      </c>
      <c r="Y45" s="65" t="s">
        <v>63</v>
      </c>
      <c r="Z45">
        <f t="shared" si="13"/>
      </c>
      <c r="AA45" s="66">
        <f>IF($C45="S",IF($Z45="CP",$X45,IF($Z45="RA",(($X45)*'[1]QCI'!$AA$3),0)),SomaAgrup)</f>
        <v>0</v>
      </c>
      <c r="AB45" s="67">
        <f t="shared" si="25"/>
        <v>0</v>
      </c>
      <c r="AC45" s="68" t="e">
        <f t="shared" si="26"/>
        <v>#VALUE!</v>
      </c>
      <c r="AD45" s="8" t="e">
        <f ca="1">IF(C45&lt;=CRONO.NivelExibicao,MAX($AD$15:OFFSET(AD45,-1,0))+IF($C45&lt;&gt;1,1,MAX(1,COUNTIF('[1]QCI'!$A$13:$A$24,OFFSET($E45,-1,0)))),"")</f>
        <v>#VALUE!</v>
      </c>
      <c r="AE45" s="18" t="b">
        <f t="shared" si="27"/>
        <v>0</v>
      </c>
      <c r="AF45" s="69" t="e">
        <f ca="1" t="shared" si="28"/>
        <v>#VALUE!</v>
      </c>
      <c r="AG45" s="70" t="e">
        <f t="shared" si="29"/>
        <v>#VALUE!</v>
      </c>
      <c r="AH45" s="71">
        <f t="shared" si="30"/>
        <v>0.2282</v>
      </c>
      <c r="AJ45" s="72"/>
      <c r="AL45" s="73"/>
      <c r="AM45" s="74">
        <f t="shared" si="0"/>
        <v>0</v>
      </c>
      <c r="AN45" s="75">
        <f t="shared" si="31"/>
        <v>0</v>
      </c>
    </row>
    <row r="46" spans="1:40" ht="30">
      <c r="A46" t="str">
        <f t="shared" si="22"/>
        <v>S</v>
      </c>
      <c r="B46">
        <f ca="1" t="shared" si="2"/>
        <v>2</v>
      </c>
      <c r="C46" t="str">
        <f ca="1" t="shared" si="3"/>
        <v>S</v>
      </c>
      <c r="D46">
        <f t="shared" si="4"/>
        <v>0</v>
      </c>
      <c r="E46" t="e">
        <f ca="1">IF($C46=1,OFFSET(E46,-1,0)+MAX(1,COUNTIF('[1]QCI'!$A$13:$A$24,OFFSET('[1]ORÇAMENTO'!E45,-1,0))),OFFSET(E46,-1,0))</f>
        <v>#VALUE!</v>
      </c>
      <c r="F46">
        <f ca="1" t="shared" si="5"/>
        <v>1</v>
      </c>
      <c r="G46">
        <f ca="1" t="shared" si="6"/>
        <v>0</v>
      </c>
      <c r="H46">
        <f ca="1" t="shared" si="7"/>
        <v>0</v>
      </c>
      <c r="I46">
        <f ca="1" t="shared" si="8"/>
        <v>0</v>
      </c>
      <c r="J46">
        <f ca="1" t="shared" si="9"/>
        <v>0</v>
      </c>
      <c r="K46">
        <f ca="1">IF(OR($C46="S",$C46=0),0,MATCH(OFFSET($D46,0,$C46)+IF($C46&lt;&gt;1,1,COUNTIF('[1]QCI'!$A$13:$A$24,'[1]ORÇAMENTO'!E45)),OFFSET($D46,1,$C46,ROW($C$223)-ROW($C46)),0))</f>
        <v>0</v>
      </c>
      <c r="L46" s="53">
        <f t="shared" si="10"/>
      </c>
      <c r="M46" s="54" t="s">
        <v>7</v>
      </c>
      <c r="N46" s="55" t="str">
        <f t="shared" si="11"/>
        <v>Serviço</v>
      </c>
      <c r="O46" s="56" t="s">
        <v>268</v>
      </c>
      <c r="P46" s="57" t="s">
        <v>62</v>
      </c>
      <c r="Q46" s="58" t="s">
        <v>134</v>
      </c>
      <c r="R46" s="59" t="s">
        <v>127</v>
      </c>
      <c r="S46" s="60" t="s">
        <v>141</v>
      </c>
      <c r="T46" s="61">
        <f>AJ46</f>
        <v>20.12</v>
      </c>
      <c r="U46" s="62"/>
      <c r="V46" s="63" t="s">
        <v>10</v>
      </c>
      <c r="W46" s="61">
        <f t="shared" si="24"/>
        <v>0</v>
      </c>
      <c r="X46" s="64">
        <f t="shared" si="32"/>
        <v>0</v>
      </c>
      <c r="Y46" s="65" t="s">
        <v>63</v>
      </c>
      <c r="Z46">
        <f t="shared" si="13"/>
      </c>
      <c r="AA46" s="66">
        <f>IF($C46="S",IF($Z46="CP",$X46,IF($Z46="RA",(($X46)*'[1]QCI'!$AA$3),0)),SomaAgrup)</f>
        <v>0</v>
      </c>
      <c r="AB46" s="67">
        <f t="shared" si="25"/>
        <v>0</v>
      </c>
      <c r="AC46" s="68">
        <f t="shared" si="26"/>
      </c>
      <c r="AD46" s="8">
        <f ca="1">IF(C46&lt;=CRONO.NivelExibicao,MAX($AD$15:OFFSET(AD46,-1,0))+IF($C46&lt;&gt;1,1,MAX(1,COUNTIF('[1]QCI'!$A$13:$A$24,OFFSET($E46,-1,0)))),"")</f>
      </c>
      <c r="AE46" s="18" t="str">
        <f t="shared" si="27"/>
        <v>SINAPI  97647 </v>
      </c>
      <c r="AF46" s="69" t="e">
        <f ca="1" t="shared" si="28"/>
        <v>#VALUE!</v>
      </c>
      <c r="AG46" s="70">
        <v>2.81</v>
      </c>
      <c r="AH46" s="71">
        <f t="shared" si="30"/>
        <v>0.2282</v>
      </c>
      <c r="AJ46" s="72">
        <v>20.12</v>
      </c>
      <c r="AL46" s="73"/>
      <c r="AM46" s="74">
        <f t="shared" si="0"/>
        <v>0</v>
      </c>
      <c r="AN46" s="75">
        <f t="shared" si="31"/>
        <v>0</v>
      </c>
    </row>
    <row r="47" spans="1:40" ht="30">
      <c r="A47" t="str">
        <f t="shared" si="22"/>
        <v>S</v>
      </c>
      <c r="B47">
        <f ca="1">IF(OR(C47="s",C47=0),OFFSET(B47,-1,0),C47)</f>
        <v>2</v>
      </c>
      <c r="C47" t="str">
        <f ca="1">IF(OFFSET(C47,-1,0)="L",1,IF(OFFSET(C47,-1,0)=1,2,IF(OR(A47="s",A47=0),"S",IF(AND(OFFSET(C47,-1,0)=2,A47=4),3,IF(AND(OR(OFFSET(C47,-1,0)="s",OFFSET(C47,-1,0)=0),A47&lt;&gt;"s",A47&gt;OFFSET(B47,-1,0)),OFFSET(B47,-1,0),A47)))))</f>
        <v>S</v>
      </c>
      <c r="D47">
        <f>IF(OR(C47="S",C47=0),0,IF(ISERROR(K47),J47,SMALL(J47:K47,1)))</f>
        <v>0</v>
      </c>
      <c r="E47" t="e">
        <f ca="1">IF($C47=1,OFFSET(E47,-1,0)+MAX(1,COUNTIF('[1]QCI'!$A$13:$A$24,OFFSET('[1]ORÇAMENTO'!E46,-1,0))),OFFSET(E47,-1,0))</f>
        <v>#VALUE!</v>
      </c>
      <c r="F47">
        <f ca="1" t="shared" si="5"/>
        <v>1</v>
      </c>
      <c r="G47">
        <f ca="1" t="shared" si="6"/>
        <v>0</v>
      </c>
      <c r="H47">
        <f ca="1" t="shared" si="7"/>
        <v>0</v>
      </c>
      <c r="I47">
        <f ca="1" t="shared" si="8"/>
        <v>0</v>
      </c>
      <c r="J47">
        <f ca="1" t="shared" si="9"/>
        <v>0</v>
      </c>
      <c r="K47">
        <f ca="1">IF(OR($C47="S",$C47=0),0,MATCH(OFFSET($D47,0,$C47)+IF($C47&lt;&gt;1,1,COUNTIF('[1]QCI'!$A$13:$A$24,'[1]ORÇAMENTO'!E46)),OFFSET($D47,1,$C47,ROW($C$223)-ROW($C47)),0))</f>
        <v>0</v>
      </c>
      <c r="L47" s="53">
        <f t="shared" si="10"/>
      </c>
      <c r="M47" s="54" t="s">
        <v>7</v>
      </c>
      <c r="N47" s="55" t="str">
        <f>CHOOSE(1+LOG(1+2*(C47=1)+4*(C47=2)+8*(C47=3)+16*(C47=4)+32*(C47="S"),2),"","Meta","Nível 2","Nível 3","Nível 4","Serviço")</f>
        <v>Serviço</v>
      </c>
      <c r="O47" s="56" t="s">
        <v>269</v>
      </c>
      <c r="P47" s="57" t="s">
        <v>62</v>
      </c>
      <c r="Q47" s="58" t="s">
        <v>139</v>
      </c>
      <c r="R47" s="59" t="s">
        <v>132</v>
      </c>
      <c r="S47" s="60" t="s">
        <v>141</v>
      </c>
      <c r="T47" s="61">
        <f>AJ47</f>
        <v>20.12</v>
      </c>
      <c r="U47" s="62"/>
      <c r="V47" s="63" t="s">
        <v>10</v>
      </c>
      <c r="W47" s="61">
        <f t="shared" si="24"/>
        <v>0</v>
      </c>
      <c r="X47" s="64">
        <f t="shared" si="32"/>
        <v>0</v>
      </c>
      <c r="Y47" s="65" t="s">
        <v>63</v>
      </c>
      <c r="Z47">
        <f t="shared" si="13"/>
      </c>
      <c r="AA47" s="66">
        <f>IF($C47="S",IF($Z47="CP",$X47,IF($Z47="RA",(($X47)*'[1]QCI'!$AA$3),0)),SomaAgrup)</f>
        <v>0</v>
      </c>
      <c r="AB47" s="67">
        <f t="shared" si="25"/>
        <v>0</v>
      </c>
      <c r="AC47" s="68">
        <f t="shared" si="26"/>
      </c>
      <c r="AD47" s="8">
        <f ca="1">IF(C47&lt;=CRONO.NivelExibicao,MAX($AD$15:OFFSET(AD47,-1,0))+IF($C47&lt;&gt;1,1,MAX(1,COUNTIF('[1]QCI'!$A$13:$A$24,OFFSET($E47,-1,0)))),"")</f>
      </c>
      <c r="AE47" s="18" t="str">
        <f t="shared" si="27"/>
        <v>SINAPI  94195 </v>
      </c>
      <c r="AF47" s="69" t="e">
        <f ca="1" t="shared" si="28"/>
        <v>#VALUE!</v>
      </c>
      <c r="AG47" s="70">
        <v>34.47</v>
      </c>
      <c r="AH47" s="71">
        <f t="shared" si="30"/>
        <v>0.2282</v>
      </c>
      <c r="AJ47" s="72">
        <v>20.12</v>
      </c>
      <c r="AL47" s="73"/>
      <c r="AM47" s="74">
        <f t="shared" si="0"/>
        <v>0</v>
      </c>
      <c r="AN47" s="75">
        <f t="shared" si="31"/>
        <v>0</v>
      </c>
    </row>
    <row r="48" spans="1:40" ht="15">
      <c r="A48">
        <f t="shared" si="22"/>
        <v>2</v>
      </c>
      <c r="B48">
        <f ca="1" t="shared" si="2"/>
        <v>2</v>
      </c>
      <c r="C48">
        <f ca="1" t="shared" si="3"/>
        <v>2</v>
      </c>
      <c r="D48">
        <f t="shared" si="4"/>
        <v>2</v>
      </c>
      <c r="E48" t="e">
        <f ca="1">IF($C48=1,OFFSET(E48,-1,0)+MAX(1,COUNTIF('[1]QCI'!$A$13:$A$24,OFFSET('[1]ORÇAMENTO'!E46,-1,0))),OFFSET(E48,-1,0))</f>
        <v>#VALUE!</v>
      </c>
      <c r="F48">
        <f ca="1" t="shared" si="5"/>
        <v>2</v>
      </c>
      <c r="G48">
        <f ca="1" t="shared" si="6"/>
        <v>0</v>
      </c>
      <c r="H48">
        <f ca="1" t="shared" si="7"/>
        <v>0</v>
      </c>
      <c r="I48">
        <f ca="1" t="shared" si="8"/>
        <v>0</v>
      </c>
      <c r="J48">
        <f aca="true" ca="1" t="shared" si="33" ref="J48:J82">IF(OR($C48="S",$C48=0),0,MATCH(0,OFFSET($D48,1,$C48,ROW($C$223)-ROW($C48)),0))</f>
        <v>2</v>
      </c>
      <c r="K48">
        <f ca="1">IF(OR($C48="S",$C48=0),0,MATCH(OFFSET($D48,0,$C48)+IF($C48&lt;&gt;1,1,COUNTIF('[1]QCI'!$A$13:$A$24,'[1]ORÇAMENTO'!E46)),OFFSET($D48,1,$C48,ROW($C$223)-ROW($C48)),0))</f>
        <v>34</v>
      </c>
      <c r="L48" s="53" t="str">
        <f t="shared" si="10"/>
        <v>F</v>
      </c>
      <c r="M48" s="54" t="s">
        <v>4</v>
      </c>
      <c r="N48" s="55" t="str">
        <f t="shared" si="11"/>
        <v>Nível 2</v>
      </c>
      <c r="O48" s="56" t="s">
        <v>270</v>
      </c>
      <c r="P48" s="57" t="s">
        <v>62</v>
      </c>
      <c r="Q48" s="58"/>
      <c r="R48" s="59" t="s">
        <v>78</v>
      </c>
      <c r="S48" s="60" t="str">
        <f t="shared" si="23"/>
        <v>-</v>
      </c>
      <c r="T48" s="61" t="e">
        <f ca="1">OFFSET('[1]CÁLCULO'!H$15,ROW($T48)-ROW(T$15),0)</f>
        <v>#VALUE!</v>
      </c>
      <c r="U48" s="62"/>
      <c r="V48" s="63" t="s">
        <v>10</v>
      </c>
      <c r="W48" s="61">
        <f t="shared" si="24"/>
        <v>0</v>
      </c>
      <c r="X48" s="64">
        <f>ROUND(SUM(X49),2)</f>
        <v>0</v>
      </c>
      <c r="Y48" s="65" t="s">
        <v>63</v>
      </c>
      <c r="Z48">
        <f t="shared" si="13"/>
      </c>
      <c r="AA48" s="66">
        <f>IF($C48="S",IF($Z48="CP",$X48,IF($Z48="RA",(($X48)*'[1]QCI'!$AA$3),0)),SomaAgrup)</f>
        <v>0</v>
      </c>
      <c r="AB48" s="67">
        <f t="shared" si="25"/>
        <v>0</v>
      </c>
      <c r="AC48" s="68" t="e">
        <f t="shared" si="26"/>
        <v>#VALUE!</v>
      </c>
      <c r="AD48" s="8" t="e">
        <f ca="1">IF(C48&lt;=CRONO.NivelExibicao,MAX($AD$15:OFFSET(AD48,-1,0))+IF($C48&lt;&gt;1,1,MAX(1,COUNTIF('[1]QCI'!$A$13:$A$24,OFFSET($E48,-1,0)))),"")</f>
        <v>#VALUE!</v>
      </c>
      <c r="AE48" s="18" t="b">
        <f t="shared" si="27"/>
        <v>0</v>
      </c>
      <c r="AF48" s="69" t="e">
        <f ca="1" t="shared" si="28"/>
        <v>#VALUE!</v>
      </c>
      <c r="AG48" s="70" t="e">
        <f t="shared" si="29"/>
        <v>#VALUE!</v>
      </c>
      <c r="AH48" s="71">
        <f t="shared" si="30"/>
        <v>0.2282</v>
      </c>
      <c r="AJ48" s="72"/>
      <c r="AL48" s="73"/>
      <c r="AM48" s="74">
        <f t="shared" si="0"/>
        <v>0</v>
      </c>
      <c r="AN48" s="75">
        <f t="shared" si="31"/>
        <v>0</v>
      </c>
    </row>
    <row r="49" spans="1:40" ht="15">
      <c r="A49" t="str">
        <f t="shared" si="22"/>
        <v>S</v>
      </c>
      <c r="B49">
        <f ca="1" t="shared" si="2"/>
        <v>2</v>
      </c>
      <c r="C49" t="str">
        <f ca="1" t="shared" si="3"/>
        <v>S</v>
      </c>
      <c r="D49">
        <f t="shared" si="4"/>
        <v>0</v>
      </c>
      <c r="E49" t="e">
        <f ca="1">IF($C49=1,OFFSET(E49,-1,0)+MAX(1,COUNTIF('[1]QCI'!$A$13:$A$24,OFFSET('[1]ORÇAMENTO'!E47,-1,0))),OFFSET(E49,-1,0))</f>
        <v>#VALUE!</v>
      </c>
      <c r="F49">
        <f ca="1" t="shared" si="5"/>
        <v>2</v>
      </c>
      <c r="G49">
        <f ca="1" t="shared" si="6"/>
        <v>0</v>
      </c>
      <c r="H49">
        <f ca="1" t="shared" si="7"/>
        <v>0</v>
      </c>
      <c r="I49">
        <f ca="1" t="shared" si="8"/>
        <v>0</v>
      </c>
      <c r="J49">
        <f ca="1" t="shared" si="33"/>
        <v>0</v>
      </c>
      <c r="K49">
        <f ca="1">IF(OR($C49="S",$C49=0),0,MATCH(OFFSET($D49,0,$C49)+IF($C49&lt;&gt;1,1,COUNTIF('[1]QCI'!$A$13:$A$24,'[1]ORÇAMENTO'!E47)),OFFSET($D49,1,$C49,ROW($C$223)-ROW($C49)),0))</f>
        <v>0</v>
      </c>
      <c r="L49" s="53">
        <f t="shared" si="10"/>
      </c>
      <c r="M49" s="54" t="s">
        <v>7</v>
      </c>
      <c r="N49" s="55" t="str">
        <f t="shared" si="11"/>
        <v>Serviço</v>
      </c>
      <c r="O49" s="56" t="s">
        <v>271</v>
      </c>
      <c r="P49" s="57" t="s">
        <v>62</v>
      </c>
      <c r="Q49" s="58" t="s">
        <v>73</v>
      </c>
      <c r="R49" s="59" t="s">
        <v>147</v>
      </c>
      <c r="S49" s="60" t="s">
        <v>148</v>
      </c>
      <c r="T49" s="61">
        <f>AJ49</f>
        <v>2</v>
      </c>
      <c r="U49" s="62"/>
      <c r="V49" s="63" t="s">
        <v>10</v>
      </c>
      <c r="W49" s="61">
        <f t="shared" si="24"/>
        <v>0</v>
      </c>
      <c r="X49" s="64">
        <f t="shared" si="32"/>
        <v>0</v>
      </c>
      <c r="Y49" s="65" t="s">
        <v>63</v>
      </c>
      <c r="Z49">
        <f t="shared" si="13"/>
      </c>
      <c r="AA49" s="66">
        <f>IF($C49="S",IF($Z49="CP",$X49,IF($Z49="RA",(($X49)*'[1]QCI'!$AA$3),0)),SomaAgrup)</f>
        <v>0</v>
      </c>
      <c r="AB49" s="67">
        <f t="shared" si="25"/>
        <v>0</v>
      </c>
      <c r="AC49" s="68">
        <f t="shared" si="26"/>
      </c>
      <c r="AD49" s="8">
        <f ca="1">IF(C49&lt;=CRONO.NivelExibicao,MAX($AD$15:OFFSET(AD49,-1,0))+IF($C49&lt;&gt;1,1,MAX(1,COUNTIF('[1]QCI'!$A$13:$A$24,OFFSET($E49,-1,0)))),"")</f>
      </c>
      <c r="AE49" s="18" t="str">
        <f t="shared" si="27"/>
        <v>SINAPI 88316</v>
      </c>
      <c r="AF49" s="69" t="e">
        <f ca="1" t="shared" si="28"/>
        <v>#VALUE!</v>
      </c>
      <c r="AG49" s="70">
        <v>17.96</v>
      </c>
      <c r="AH49" s="71">
        <f t="shared" si="30"/>
        <v>0.2282</v>
      </c>
      <c r="AJ49" s="72">
        <v>2</v>
      </c>
      <c r="AL49" s="73"/>
      <c r="AM49" s="74">
        <f t="shared" si="0"/>
        <v>0</v>
      </c>
      <c r="AN49" s="75">
        <f t="shared" si="31"/>
        <v>0</v>
      </c>
    </row>
    <row r="50" spans="1:40" ht="15">
      <c r="A50">
        <f t="shared" si="22"/>
        <v>1</v>
      </c>
      <c r="B50">
        <f ca="1" t="shared" si="2"/>
        <v>1</v>
      </c>
      <c r="C50">
        <f ca="1" t="shared" si="3"/>
        <v>1</v>
      </c>
      <c r="D50">
        <f t="shared" si="4"/>
        <v>173</v>
      </c>
      <c r="E50" t="e">
        <f ca="1">IF($C50=1,OFFSET(E50,-1,0)+MAX(1,COUNTIF('[1]QCI'!$A$13:$A$24,OFFSET('[1]ORÇAMENTO'!E48,-1,0))),OFFSET(E50,-1,0))</f>
        <v>#VALUE!</v>
      </c>
      <c r="F50">
        <f ca="1" t="shared" si="5"/>
        <v>0</v>
      </c>
      <c r="G50">
        <f ca="1" t="shared" si="6"/>
        <v>0</v>
      </c>
      <c r="H50">
        <f ca="1" t="shared" si="7"/>
        <v>0</v>
      </c>
      <c r="I50">
        <f ca="1" t="shared" si="8"/>
        <v>0</v>
      </c>
      <c r="J50">
        <f ca="1" t="shared" si="33"/>
        <v>173</v>
      </c>
      <c r="K50" t="e">
        <f ca="1">IF(OR($C50="S",$C50=0),0,MATCH(OFFSET($D50,0,$C50)+IF($C50&lt;&gt;1,1,COUNTIF('[1]QCI'!$A$13:$A$24,'[1]ORÇAMENTO'!E48)),OFFSET($D50,1,$C50,ROW($C$223)-ROW($C50)),0))</f>
        <v>#VALUE!</v>
      </c>
      <c r="L50" s="53" t="str">
        <f t="shared" si="10"/>
        <v>F</v>
      </c>
      <c r="M50" s="54" t="s">
        <v>3</v>
      </c>
      <c r="N50" s="55" t="str">
        <f t="shared" si="11"/>
        <v>Meta</v>
      </c>
      <c r="O50" s="56" t="s">
        <v>272</v>
      </c>
      <c r="P50" s="57" t="s">
        <v>62</v>
      </c>
      <c r="Q50" s="58"/>
      <c r="R50" s="59" t="s">
        <v>79</v>
      </c>
      <c r="S50" s="60" t="str">
        <f t="shared" si="23"/>
        <v>-</v>
      </c>
      <c r="T50" s="61" t="e">
        <f ca="1">OFFSET('[1]CÁLCULO'!H$15,ROW($T50)-ROW(T$15),0)</f>
        <v>#VALUE!</v>
      </c>
      <c r="U50" s="62"/>
      <c r="V50" s="63" t="s">
        <v>10</v>
      </c>
      <c r="W50" s="61">
        <f t="shared" si="24"/>
        <v>0</v>
      </c>
      <c r="X50" s="64">
        <f>ROUND(SUM(X51),2)</f>
        <v>0</v>
      </c>
      <c r="Y50" s="65" t="s">
        <v>63</v>
      </c>
      <c r="Z50">
        <f t="shared" si="13"/>
      </c>
      <c r="AA50" s="66">
        <f>IF($C50="S",IF($Z50="CP",$X50,IF($Z50="RA",(($X50)*'[1]QCI'!$AA$3),0)),SomaAgrup)</f>
        <v>0</v>
      </c>
      <c r="AB50" s="67">
        <f t="shared" si="25"/>
        <v>0</v>
      </c>
      <c r="AC50" s="68" t="e">
        <f t="shared" si="26"/>
        <v>#VALUE!</v>
      </c>
      <c r="AD50" s="8" t="e">
        <f ca="1">IF(C50&lt;=CRONO.NivelExibicao,MAX($AD$15:OFFSET(AD50,-1,0))+IF($C50&lt;&gt;1,1,MAX(1,COUNTIF('[1]QCI'!$A$13:$A$24,OFFSET($E50,-1,0)))),"")</f>
        <v>#VALUE!</v>
      </c>
      <c r="AE50" s="18" t="b">
        <f t="shared" si="27"/>
        <v>0</v>
      </c>
      <c r="AF50" s="69" t="e">
        <f ca="1" t="shared" si="28"/>
        <v>#VALUE!</v>
      </c>
      <c r="AG50" s="70" t="e">
        <f t="shared" si="29"/>
        <v>#VALUE!</v>
      </c>
      <c r="AH50" s="71">
        <f t="shared" si="30"/>
        <v>0.2282</v>
      </c>
      <c r="AJ50" s="72"/>
      <c r="AL50" s="73"/>
      <c r="AM50" s="74">
        <f t="shared" si="0"/>
        <v>0</v>
      </c>
      <c r="AN50" s="75">
        <f t="shared" si="31"/>
        <v>0</v>
      </c>
    </row>
    <row r="51" spans="1:40" ht="15">
      <c r="A51" t="str">
        <f t="shared" si="22"/>
        <v>S</v>
      </c>
      <c r="B51">
        <f ca="1" t="shared" si="2"/>
        <v>2</v>
      </c>
      <c r="C51">
        <f ca="1" t="shared" si="3"/>
        <v>2</v>
      </c>
      <c r="D51">
        <f t="shared" si="4"/>
        <v>3</v>
      </c>
      <c r="E51" t="e">
        <f ca="1">IF($C51=1,OFFSET(E51,-1,0)+MAX(1,COUNTIF('[1]QCI'!$A$13:$A$24,OFFSET('[1]ORÇAMENTO'!E49,-1,0))),OFFSET(E51,-1,0))</f>
        <v>#VALUE!</v>
      </c>
      <c r="F51">
        <f ca="1" t="shared" si="5"/>
        <v>1</v>
      </c>
      <c r="G51">
        <f ca="1" t="shared" si="6"/>
        <v>0</v>
      </c>
      <c r="H51">
        <f ca="1" t="shared" si="7"/>
        <v>0</v>
      </c>
      <c r="I51">
        <f ca="1" t="shared" si="8"/>
        <v>0</v>
      </c>
      <c r="J51">
        <f ca="1" t="shared" si="33"/>
        <v>3</v>
      </c>
      <c r="K51">
        <f ca="1">IF(OR($C51="S",$C51=0),0,MATCH(OFFSET($D51,0,$C51)+IF($C51&lt;&gt;1,1,COUNTIF('[1]QCI'!$A$13:$A$24,'[1]ORÇAMENTO'!E49)),OFFSET($D51,1,$C51,ROW($C$223)-ROW($C51)),0))</f>
        <v>7</v>
      </c>
      <c r="L51" s="53" t="str">
        <f t="shared" si="10"/>
        <v>F</v>
      </c>
      <c r="M51" s="54" t="s">
        <v>7</v>
      </c>
      <c r="N51" s="55" t="str">
        <f t="shared" si="11"/>
        <v>Nível 2</v>
      </c>
      <c r="O51" s="56" t="s">
        <v>273</v>
      </c>
      <c r="P51" s="57" t="s">
        <v>62</v>
      </c>
      <c r="Q51" s="58"/>
      <c r="R51" s="59" t="s">
        <v>77</v>
      </c>
      <c r="S51" s="60" t="str">
        <f t="shared" si="23"/>
        <v>-</v>
      </c>
      <c r="T51" s="61" t="e">
        <f ca="1">OFFSET('[1]CÁLCULO'!H$15,ROW($T51)-ROW(T$15),0)</f>
        <v>#VALUE!</v>
      </c>
      <c r="U51" s="62"/>
      <c r="V51" s="63" t="s">
        <v>10</v>
      </c>
      <c r="W51" s="61">
        <f t="shared" si="24"/>
        <v>0</v>
      </c>
      <c r="X51" s="64">
        <f>ROUND(SUM(X52:X53),2)</f>
        <v>0</v>
      </c>
      <c r="Y51" s="65" t="s">
        <v>63</v>
      </c>
      <c r="Z51">
        <f t="shared" si="13"/>
      </c>
      <c r="AA51" s="66">
        <f>IF($C51="S",IF($Z51="CP",$X51,IF($Z51="RA",(($X51)*'[1]QCI'!$AA$3),0)),SomaAgrup)</f>
        <v>0</v>
      </c>
      <c r="AB51" s="67">
        <f t="shared" si="25"/>
        <v>0</v>
      </c>
      <c r="AC51" s="68" t="e">
        <f t="shared" si="26"/>
        <v>#VALUE!</v>
      </c>
      <c r="AD51" s="8" t="e">
        <f ca="1">IF(C51&lt;=CRONO.NivelExibicao,MAX($AD$15:OFFSET(AD51,-1,0))+IF($C51&lt;&gt;1,1,MAX(1,COUNTIF('[1]QCI'!$A$13:$A$24,OFFSET($E51,-1,0)))),"")</f>
        <v>#VALUE!</v>
      </c>
      <c r="AE51" s="18" t="b">
        <f t="shared" si="27"/>
        <v>0</v>
      </c>
      <c r="AF51" s="69" t="e">
        <f ca="1" t="shared" si="28"/>
        <v>#VALUE!</v>
      </c>
      <c r="AG51" s="70" t="e">
        <f t="shared" si="29"/>
        <v>#VALUE!</v>
      </c>
      <c r="AH51" s="71">
        <f t="shared" si="30"/>
        <v>0.2282</v>
      </c>
      <c r="AJ51" s="72"/>
      <c r="AL51" s="73"/>
      <c r="AM51" s="74">
        <f t="shared" si="0"/>
        <v>0</v>
      </c>
      <c r="AN51" s="75">
        <f t="shared" si="31"/>
        <v>0</v>
      </c>
    </row>
    <row r="52" spans="1:40" ht="30">
      <c r="A52" t="str">
        <f>CHOOSE(1+LOG(1+2*(ORÇAMENTO.Nivel="Meta")+4*(ORÇAMENTO.Nivel="Nível 2")+8*(ORÇAMENTO.Nivel="Nível 3")+16*(ORÇAMENTO.Nivel="Nível 4")+32*(ORÇAMENTO.Nivel="Serviço"),2),0,1,2,3,4,"S")</f>
        <v>S</v>
      </c>
      <c r="B52">
        <f ca="1">IF(OR(C52="s",C52=0),OFFSET(B52,-1,0),C52)</f>
        <v>2</v>
      </c>
      <c r="C52" t="str">
        <f ca="1">IF(OFFSET(C52,-1,0)="L",1,IF(OFFSET(C52,-1,0)=1,2,IF(OR(A52="s",A52=0),"S",IF(AND(OFFSET(C52,-1,0)=2,A52=4),3,IF(AND(OR(OFFSET(C52,-1,0)="s",OFFSET(C52,-1,0)=0),A52&lt;&gt;"s",A52&gt;OFFSET(B52,-1,0)),OFFSET(B52,-1,0),A52)))))</f>
        <v>S</v>
      </c>
      <c r="D52">
        <f>IF(OR(C52="S",C52=0),0,IF(ISERROR(K52),J52,SMALL(J52:K52,1)))</f>
        <v>0</v>
      </c>
      <c r="E52" t="e">
        <f ca="1">IF($C52=1,OFFSET(E52,-1,0)+MAX(1,COUNTIF('[1]QCI'!$A$13:$A$24,OFFSET('[1]ORÇAMENTO'!E50,-1,0))),OFFSET(E52,-1,0))</f>
        <v>#VALUE!</v>
      </c>
      <c r="F52">
        <f ca="1">IF($C52=1,0,IF($C52=2,OFFSET(F52,-1,0)+1,OFFSET(F52,-1,0)))</f>
        <v>1</v>
      </c>
      <c r="G52">
        <f ca="1">IF(AND($C52&lt;=2,$C52&lt;&gt;0),0,IF($C52=3,OFFSET(G52,-1,0)+1,OFFSET(G52,-1,0)))</f>
        <v>0</v>
      </c>
      <c r="H52">
        <f ca="1">IF(AND($C52&lt;=3,$C52&lt;&gt;0),0,IF($C52=4,OFFSET(H52,-1,0)+1,OFFSET(H52,-1,0)))</f>
        <v>0</v>
      </c>
      <c r="I52">
        <f ca="1">IF(AND($C52&lt;=4,$C52&lt;&gt;0),0,IF(AND($C52="S",$X52&gt;0),OFFSET(I52,-1,0)+1,OFFSET(I52,-1,0)))</f>
        <v>0</v>
      </c>
      <c r="J52">
        <f ca="1" t="shared" si="33"/>
        <v>0</v>
      </c>
      <c r="K52">
        <f ca="1">IF(OR($C52="S",$C52=0),0,MATCH(OFFSET($D52,0,$C52)+IF($C52&lt;&gt;1,1,COUNTIF('[1]QCI'!$A$13:$A$24,'[1]ORÇAMENTO'!E50)),OFFSET($D52,1,$C52,ROW($C$223)-ROW($C52)),0))</f>
        <v>0</v>
      </c>
      <c r="L52" s="53">
        <f>IF(OR($X52&gt;0,$C52=1,$C52=2,$C52=3,$C52=4),"F","")</f>
      </c>
      <c r="M52" s="54" t="s">
        <v>7</v>
      </c>
      <c r="N52" s="55" t="str">
        <f>CHOOSE(1+LOG(1+2*(C52=1)+4*(C52=2)+8*(C52=3)+16*(C52=4)+32*(C52="S"),2),"","Meta","Nível 2","Nível 3","Nível 4","Serviço")</f>
        <v>Serviço</v>
      </c>
      <c r="O52" s="56" t="s">
        <v>134</v>
      </c>
      <c r="P52" s="57" t="s">
        <v>62</v>
      </c>
      <c r="Q52" s="58" t="s">
        <v>134</v>
      </c>
      <c r="R52" s="59" t="s">
        <v>127</v>
      </c>
      <c r="S52" s="60" t="s">
        <v>141</v>
      </c>
      <c r="T52" s="61">
        <f>AJ52</f>
        <v>34.88</v>
      </c>
      <c r="U52" s="62"/>
      <c r="V52" s="63" t="s">
        <v>10</v>
      </c>
      <c r="W52" s="61">
        <f>IF($C52="S",ROUND(IF(TIPOORCAMENTO="Proposto",ORÇAMENTO.CustoUnitario*(1+$AH52),ORÇAMENTO.PrecoUnitarioLicitado),15-13*$AF$10),0)</f>
        <v>0</v>
      </c>
      <c r="X52" s="64">
        <f>IF($C52="S",VTOTAL1,IF($C52=0,0,ROUND(SomaAgrup,15-13*$AF$11)))</f>
        <v>0</v>
      </c>
      <c r="Y52" s="65" t="s">
        <v>63</v>
      </c>
      <c r="Z52">
        <f>IF(AND($C52="S",$X52&gt;0),IF(ISBLANK($Y52),"RA",LEFT($Y52,2)),"")</f>
      </c>
      <c r="AA52" s="66">
        <f>IF($C52="S",IF($Z52="CP",$X52,IF($Z52="RA",(($X52)*'[1]QCI'!$AA$3),0)),SomaAgrup)</f>
        <v>0</v>
      </c>
      <c r="AB52" s="67">
        <f>IF($C52="S",IF($Z52="OU",ROUND($X52,2),0),SomaAgrup)</f>
        <v>0</v>
      </c>
      <c r="AC52" s="68">
        <f>IF($N52="","",IF(ORÇAMENTO.Descricao="","DESCRIÇÃO",IF(AND($C52="S",ORÇAMENTO.Unidade=""),"UNIDADE",IF($X52&lt;0,"VALOR NEGATIVO",IF(OR(AND(TIPOORCAMENTO="Proposto",$AG52&lt;&gt;"",$AG52&gt;0,ORÇAMENTO.CustoUnitario&gt;$AG52),AND(TIPOORCAMENTO="LICITADO",ORÇAMENTO.PrecoUnitarioLicitado&gt;$AN52)),"ACIMA REF.","")))))</f>
      </c>
      <c r="AD52" s="8">
        <f ca="1">IF(C52&lt;=CRONO.NivelExibicao,MAX($AD$15:OFFSET(AD52,-1,0))+IF($C52&lt;&gt;1,1,MAX(1,COUNTIF('[1]QCI'!$A$13:$A$24,OFFSET($E52,-1,0)))),"")</f>
      </c>
      <c r="AE52" s="18" t="str">
        <f>IF(AND($C52="S",ORÇAMENTO.CodBarra&lt;&gt;""),IF(ORÇAMENTO.Fonte="",ORÇAMENTO.CodBarra,CONCATENATE(ORÇAMENTO.Fonte," ",ORÇAMENTO.CodBarra)))</f>
        <v>SINAPI  97647 </v>
      </c>
      <c r="AF52" s="69" t="e">
        <f ca="1">IF(ISERROR(INDIRECT(ORÇAMENTO.BancoRef)),"(abra o arquivo 'Referência "&amp;Excel_BuiltIn_Database&amp;".xls)",IF(OR($C52&lt;&gt;"S",ORÇAMENTO.CodBarra=""),"(Sem Código)",IF(ISERROR(MATCH($AE52,INDIRECT(ORÇAMENTO.BancoRef),0)),"(Código não identificado nas referências)",MATCH($AE52,INDIRECT(ORÇAMENTO.BancoRef),0))))</f>
        <v>#VALUE!</v>
      </c>
      <c r="AG52" s="70">
        <v>2.81</v>
      </c>
      <c r="AH52" s="71">
        <f>ROUND(IF(ISNUMBER(ORÇAMENTO.OpcaoBDI),ORÇAMENTO.OpcaoBDI,IF(LEFT(ORÇAMENTO.OpcaoBDI,3)="BDI",HLOOKUP(ORÇAMENTO.OpcaoBDI,$F$4:$H$5,2,FALSE),0)),15-11*$AF$9)</f>
        <v>0.2282</v>
      </c>
      <c r="AJ52" s="72">
        <v>34.88</v>
      </c>
      <c r="AL52" s="73"/>
      <c r="AM52" s="74">
        <f t="shared" si="0"/>
        <v>0</v>
      </c>
      <c r="AN52" s="75">
        <f>ROUND(ORÇAMENTO.CustoUnitario*(1+$AH52),2)</f>
        <v>0</v>
      </c>
    </row>
    <row r="53" spans="1:40" ht="30">
      <c r="A53" t="str">
        <f aca="true" t="shared" si="34" ref="A53:A199">CHOOSE(1+LOG(1+2*(ORÇAMENTO.Nivel="Meta")+4*(ORÇAMENTO.Nivel="Nível 2")+8*(ORÇAMENTO.Nivel="Nível 3")+16*(ORÇAMENTO.Nivel="Nível 4")+32*(ORÇAMENTO.Nivel="Serviço"),2),0,1,2,3,4,"S")</f>
        <v>S</v>
      </c>
      <c r="B53">
        <f ca="1" t="shared" si="2"/>
        <v>2</v>
      </c>
      <c r="C53" t="str">
        <f ca="1" t="shared" si="3"/>
        <v>S</v>
      </c>
      <c r="D53">
        <f t="shared" si="4"/>
        <v>0</v>
      </c>
      <c r="E53" t="e">
        <f ca="1">IF($C53=1,OFFSET(E53,-1,0)+MAX(1,COUNTIF('[1]QCI'!$A$13:$A$24,OFFSET('[1]ORÇAMENTO'!E51,-1,0))),OFFSET(E53,-1,0))</f>
        <v>#VALUE!</v>
      </c>
      <c r="F53">
        <f ca="1" t="shared" si="5"/>
        <v>1</v>
      </c>
      <c r="G53">
        <f ca="1" t="shared" si="6"/>
        <v>0</v>
      </c>
      <c r="H53">
        <f ca="1" t="shared" si="7"/>
        <v>0</v>
      </c>
      <c r="I53">
        <f ca="1" t="shared" si="8"/>
        <v>0</v>
      </c>
      <c r="J53">
        <f ca="1" t="shared" si="33"/>
        <v>0</v>
      </c>
      <c r="K53">
        <f ca="1">IF(OR($C53="S",$C53=0),0,MATCH(OFFSET($D53,0,$C53)+IF($C53&lt;&gt;1,1,COUNTIF('[1]QCI'!$A$13:$A$24,'[1]ORÇAMENTO'!E51)),OFFSET($D53,1,$C53,ROW($C$223)-ROW($C53)),0))</f>
        <v>0</v>
      </c>
      <c r="L53" s="53">
        <f t="shared" si="10"/>
      </c>
      <c r="M53" s="54" t="s">
        <v>7</v>
      </c>
      <c r="N53" s="55" t="str">
        <f t="shared" si="11"/>
        <v>Serviço</v>
      </c>
      <c r="O53" s="56" t="s">
        <v>139</v>
      </c>
      <c r="P53" s="57" t="s">
        <v>62</v>
      </c>
      <c r="Q53" s="58" t="s">
        <v>139</v>
      </c>
      <c r="R53" s="59" t="s">
        <v>132</v>
      </c>
      <c r="S53" s="60" t="s">
        <v>141</v>
      </c>
      <c r="T53" s="61">
        <f>AJ53</f>
        <v>34.88</v>
      </c>
      <c r="U53" s="62"/>
      <c r="V53" s="63" t="s">
        <v>10</v>
      </c>
      <c r="W53" s="61">
        <f aca="true" t="shared" si="35" ref="W53:W199">IF($C53="S",ROUND(IF(TIPOORCAMENTO="Proposto",ORÇAMENTO.CustoUnitario*(1+$AH53),ORÇAMENTO.PrecoUnitarioLicitado),15-13*$AF$10),0)</f>
        <v>0</v>
      </c>
      <c r="X53" s="64">
        <f>IF($C53="S",VTOTAL1,IF($C53=0,0,ROUND(SomaAgrup,15-13*$AF$11)))</f>
        <v>0</v>
      </c>
      <c r="Y53" s="65" t="s">
        <v>63</v>
      </c>
      <c r="Z53">
        <f t="shared" si="13"/>
      </c>
      <c r="AA53" s="66">
        <f>IF($C53="S",IF($Z53="CP",$X53,IF($Z53="RA",(($X53)*'[1]QCI'!$AA$3),0)),SomaAgrup)</f>
        <v>0</v>
      </c>
      <c r="AB53" s="67">
        <f aca="true" t="shared" si="36" ref="AB53:AB199">IF($C53="S",IF($Z53="OU",ROUND($X53,2),0),SomaAgrup)</f>
        <v>0</v>
      </c>
      <c r="AC53" s="68">
        <f aca="true" t="shared" si="37" ref="AC53:AC199">IF($N53="","",IF(ORÇAMENTO.Descricao="","DESCRIÇÃO",IF(AND($C53="S",ORÇAMENTO.Unidade=""),"UNIDADE",IF($X53&lt;0,"VALOR NEGATIVO",IF(OR(AND(TIPOORCAMENTO="Proposto",$AG53&lt;&gt;"",$AG53&gt;0,ORÇAMENTO.CustoUnitario&gt;$AG53),AND(TIPOORCAMENTO="LICITADO",ORÇAMENTO.PrecoUnitarioLicitado&gt;$AN53)),"ACIMA REF.","")))))</f>
      </c>
      <c r="AD53" s="8">
        <f ca="1">IF(C53&lt;=CRONO.NivelExibicao,MAX($AD$15:OFFSET(AD53,-1,0))+IF($C53&lt;&gt;1,1,MAX(1,COUNTIF('[1]QCI'!$A$13:$A$24,OFFSET($E53,-1,0)))),"")</f>
      </c>
      <c r="AE53" s="18" t="str">
        <f aca="true" t="shared" si="38" ref="AE53:AE199">IF(AND($C53="S",ORÇAMENTO.CodBarra&lt;&gt;""),IF(ORÇAMENTO.Fonte="",ORÇAMENTO.CodBarra,CONCATENATE(ORÇAMENTO.Fonte," ",ORÇAMENTO.CodBarra)))</f>
        <v>SINAPI  94195 </v>
      </c>
      <c r="AF53" s="69" t="e">
        <f aca="true" ca="1" t="shared" si="39" ref="AF53:AF199">IF(ISERROR(INDIRECT(ORÇAMENTO.BancoRef)),"(abra o arquivo 'Referência "&amp;Excel_BuiltIn_Database&amp;".xls)",IF(OR($C53&lt;&gt;"S",ORÇAMENTO.CodBarra=""),"(Sem Código)",IF(ISERROR(MATCH($AE53,INDIRECT(ORÇAMENTO.BancoRef),0)),"(Código não identificado nas referências)",MATCH($AE53,INDIRECT(ORÇAMENTO.BancoRef),0))))</f>
        <v>#VALUE!</v>
      </c>
      <c r="AG53" s="70">
        <v>34.47</v>
      </c>
      <c r="AH53" s="71">
        <f aca="true" t="shared" si="40" ref="AH53:AH199">ROUND(IF(ISNUMBER(ORÇAMENTO.OpcaoBDI),ORÇAMENTO.OpcaoBDI,IF(LEFT(ORÇAMENTO.OpcaoBDI,3)="BDI",HLOOKUP(ORÇAMENTO.OpcaoBDI,$F$4:$H$5,2,FALSE),0)),15-11*$AF$9)</f>
        <v>0.2282</v>
      </c>
      <c r="AJ53" s="72">
        <v>34.88</v>
      </c>
      <c r="AL53" s="73"/>
      <c r="AM53" s="74">
        <f t="shared" si="0"/>
        <v>0</v>
      </c>
      <c r="AN53" s="75">
        <f aca="true" t="shared" si="41" ref="AN53:AN199">ROUND(ORÇAMENTO.CustoUnitario*(1+$AH53),2)</f>
        <v>0</v>
      </c>
    </row>
    <row r="54" spans="1:40" ht="15">
      <c r="A54">
        <f t="shared" si="34"/>
        <v>1</v>
      </c>
      <c r="B54">
        <f ca="1" t="shared" si="2"/>
        <v>1</v>
      </c>
      <c r="C54">
        <f ca="1" t="shared" si="3"/>
        <v>1</v>
      </c>
      <c r="D54">
        <f t="shared" si="4"/>
        <v>169</v>
      </c>
      <c r="E54" t="e">
        <f ca="1">IF($C54=1,OFFSET(E54,-1,0)+MAX(1,COUNTIF('[1]QCI'!$A$13:$A$24,OFFSET('[1]ORÇAMENTO'!E52,-1,0))),OFFSET(E54,-1,0))</f>
        <v>#VALUE!</v>
      </c>
      <c r="F54">
        <f ca="1" t="shared" si="5"/>
        <v>0</v>
      </c>
      <c r="G54">
        <f ca="1" t="shared" si="6"/>
        <v>0</v>
      </c>
      <c r="H54">
        <f ca="1" t="shared" si="7"/>
        <v>0</v>
      </c>
      <c r="I54">
        <f ca="1" t="shared" si="8"/>
        <v>0</v>
      </c>
      <c r="J54">
        <f ca="1" t="shared" si="33"/>
        <v>169</v>
      </c>
      <c r="K54" t="e">
        <f ca="1">IF(OR($C54="S",$C54=0),0,MATCH(OFFSET($D54,0,$C54)+IF($C54&lt;&gt;1,1,COUNTIF('[1]QCI'!$A$13:$A$24,'[1]ORÇAMENTO'!E52)),OFFSET($D54,1,$C54,ROW($C$223)-ROW($C54)),0))</f>
        <v>#VALUE!</v>
      </c>
      <c r="L54" s="53" t="str">
        <f t="shared" si="10"/>
        <v>F</v>
      </c>
      <c r="M54" s="54" t="s">
        <v>3</v>
      </c>
      <c r="N54" s="55" t="str">
        <f t="shared" si="11"/>
        <v>Meta</v>
      </c>
      <c r="O54" s="56" t="s">
        <v>274</v>
      </c>
      <c r="P54" s="57" t="s">
        <v>62</v>
      </c>
      <c r="Q54" s="58"/>
      <c r="R54" s="59" t="s">
        <v>80</v>
      </c>
      <c r="S54" s="60" t="str">
        <f>REFERENCIA.Unidade</f>
        <v>-</v>
      </c>
      <c r="T54" s="61" t="e">
        <f ca="1">OFFSET('[1]CÁLCULO'!H$15,ROW($T54)-ROW(T$15),0)</f>
        <v>#VALUE!</v>
      </c>
      <c r="U54" s="62"/>
      <c r="V54" s="63" t="s">
        <v>10</v>
      </c>
      <c r="W54" s="61">
        <f t="shared" si="35"/>
        <v>0</v>
      </c>
      <c r="X54" s="64">
        <f>ROUND(SUM(X55,X58),2)</f>
        <v>0</v>
      </c>
      <c r="Y54" s="65" t="s">
        <v>63</v>
      </c>
      <c r="Z54">
        <f t="shared" si="13"/>
      </c>
      <c r="AA54" s="66">
        <f>IF($C54="S",IF($Z54="CP",$X54,IF($Z54="RA",(($X54)*'[1]QCI'!$AA$3),0)),SomaAgrup)</f>
        <v>0</v>
      </c>
      <c r="AB54" s="67">
        <f t="shared" si="36"/>
        <v>0</v>
      </c>
      <c r="AC54" s="68" t="e">
        <f t="shared" si="37"/>
        <v>#VALUE!</v>
      </c>
      <c r="AD54" s="8" t="e">
        <f ca="1">IF(C54&lt;=CRONO.NivelExibicao,MAX($AD$15:OFFSET(AD54,-1,0))+IF($C54&lt;&gt;1,1,MAX(1,COUNTIF('[1]QCI'!$A$13:$A$24,OFFSET($E54,-1,0)))),"")</f>
        <v>#VALUE!</v>
      </c>
      <c r="AE54" s="18" t="b">
        <f t="shared" si="38"/>
        <v>0</v>
      </c>
      <c r="AF54" s="69" t="e">
        <f ca="1" t="shared" si="39"/>
        <v>#VALUE!</v>
      </c>
      <c r="AG54" s="70" t="e">
        <f>ROUND(IF(DESONERACAO="sim",REFERENCIA.Desonerado,REFERENCIA.NaoDesonerado),2)</f>
        <v>#VALUE!</v>
      </c>
      <c r="AH54" s="71">
        <f t="shared" si="40"/>
        <v>0.2282</v>
      </c>
      <c r="AJ54" s="72"/>
      <c r="AL54" s="73"/>
      <c r="AM54" s="74">
        <f t="shared" si="0"/>
        <v>0</v>
      </c>
      <c r="AN54" s="75">
        <f t="shared" si="41"/>
        <v>0</v>
      </c>
    </row>
    <row r="55" spans="1:40" ht="15">
      <c r="A55" t="str">
        <f t="shared" si="34"/>
        <v>S</v>
      </c>
      <c r="B55">
        <f ca="1" t="shared" si="2"/>
        <v>2</v>
      </c>
      <c r="C55">
        <f ca="1" t="shared" si="3"/>
        <v>2</v>
      </c>
      <c r="D55">
        <f t="shared" si="4"/>
        <v>3</v>
      </c>
      <c r="E55" t="e">
        <f ca="1">IF($C55=1,OFFSET(E55,-1,0)+MAX(1,COUNTIF('[1]QCI'!$A$13:$A$24,OFFSET('[1]ORÇAMENTO'!E53,-1,0))),OFFSET(E55,-1,0))</f>
        <v>#VALUE!</v>
      </c>
      <c r="F55">
        <f ca="1" t="shared" si="5"/>
        <v>1</v>
      </c>
      <c r="G55">
        <f ca="1" t="shared" si="6"/>
        <v>0</v>
      </c>
      <c r="H55">
        <f ca="1" t="shared" si="7"/>
        <v>0</v>
      </c>
      <c r="I55">
        <f ca="1" t="shared" si="8"/>
        <v>0</v>
      </c>
      <c r="J55">
        <f ca="1" t="shared" si="33"/>
        <v>7</v>
      </c>
      <c r="K55">
        <f ca="1">IF(OR($C55="S",$C55=0),0,MATCH(OFFSET($D55,0,$C55)+IF($C55&lt;&gt;1,1,COUNTIF('[1]QCI'!$A$13:$A$24,'[1]ORÇAMENTO'!E53)),OFFSET($D55,1,$C55,ROW($C$223)-ROW($C55)),0))</f>
        <v>3</v>
      </c>
      <c r="L55" s="53" t="str">
        <f t="shared" si="10"/>
        <v>F</v>
      </c>
      <c r="M55" s="54" t="s">
        <v>7</v>
      </c>
      <c r="N55" s="55" t="str">
        <f t="shared" si="11"/>
        <v>Nível 2</v>
      </c>
      <c r="O55" s="56" t="s">
        <v>275</v>
      </c>
      <c r="P55" s="57" t="s">
        <v>62</v>
      </c>
      <c r="Q55" s="58"/>
      <c r="R55" s="59" t="s">
        <v>77</v>
      </c>
      <c r="S55" s="60" t="str">
        <f>REFERENCIA.Unidade</f>
        <v>-</v>
      </c>
      <c r="T55" s="61" t="e">
        <f ca="1">OFFSET('[1]CÁLCULO'!H$15,ROW($T55)-ROW(T$15),0)</f>
        <v>#VALUE!</v>
      </c>
      <c r="U55" s="62"/>
      <c r="V55" s="63" t="s">
        <v>10</v>
      </c>
      <c r="W55" s="61">
        <f t="shared" si="35"/>
        <v>0</v>
      </c>
      <c r="X55" s="64">
        <f>ROUND(SUM(X56:X57),2)</f>
        <v>0</v>
      </c>
      <c r="Y55" s="65" t="s">
        <v>63</v>
      </c>
      <c r="Z55">
        <f t="shared" si="13"/>
      </c>
      <c r="AA55" s="66">
        <f>IF($C55="S",IF($Z55="CP",$X55,IF($Z55="RA",(($X55)*'[1]QCI'!$AA$3),0)),SomaAgrup)</f>
        <v>0</v>
      </c>
      <c r="AB55" s="67">
        <f t="shared" si="36"/>
        <v>0</v>
      </c>
      <c r="AC55" s="68" t="e">
        <f t="shared" si="37"/>
        <v>#VALUE!</v>
      </c>
      <c r="AD55" s="8" t="e">
        <f ca="1">IF(C55&lt;=CRONO.NivelExibicao,MAX($AD$15:OFFSET(AD55,-1,0))+IF($C55&lt;&gt;1,1,MAX(1,COUNTIF('[1]QCI'!$A$13:$A$24,OFFSET($E55,-1,0)))),"")</f>
        <v>#VALUE!</v>
      </c>
      <c r="AE55" s="18" t="b">
        <f t="shared" si="38"/>
        <v>0</v>
      </c>
      <c r="AF55" s="69" t="e">
        <f ca="1" t="shared" si="39"/>
        <v>#VALUE!</v>
      </c>
      <c r="AG55" s="70" t="e">
        <f>ROUND(IF(DESONERACAO="sim",REFERENCIA.Desonerado,REFERENCIA.NaoDesonerado),2)</f>
        <v>#VALUE!</v>
      </c>
      <c r="AH55" s="71">
        <f t="shared" si="40"/>
        <v>0.2282</v>
      </c>
      <c r="AJ55" s="72"/>
      <c r="AL55" s="73"/>
      <c r="AM55" s="74">
        <f t="shared" si="0"/>
        <v>0</v>
      </c>
      <c r="AN55" s="75">
        <f t="shared" si="41"/>
        <v>0</v>
      </c>
    </row>
    <row r="56" spans="1:40" ht="30">
      <c r="A56" t="str">
        <f t="shared" si="34"/>
        <v>S</v>
      </c>
      <c r="B56">
        <f ca="1" t="shared" si="2"/>
        <v>2</v>
      </c>
      <c r="C56" t="str">
        <f ca="1" t="shared" si="3"/>
        <v>S</v>
      </c>
      <c r="D56">
        <f t="shared" si="4"/>
        <v>0</v>
      </c>
      <c r="E56" t="e">
        <f ca="1">IF($C56=1,OFFSET(E56,-1,0)+MAX(1,COUNTIF('[1]QCI'!$A$13:$A$24,OFFSET('[1]ORÇAMENTO'!E54,-1,0))),OFFSET(E56,-1,0))</f>
        <v>#VALUE!</v>
      </c>
      <c r="F56">
        <f ca="1" t="shared" si="5"/>
        <v>1</v>
      </c>
      <c r="G56">
        <f ca="1" t="shared" si="6"/>
        <v>0</v>
      </c>
      <c r="H56">
        <f ca="1" t="shared" si="7"/>
        <v>0</v>
      </c>
      <c r="I56">
        <f ca="1" t="shared" si="8"/>
        <v>0</v>
      </c>
      <c r="J56">
        <f ca="1" t="shared" si="33"/>
        <v>0</v>
      </c>
      <c r="K56">
        <f ca="1">IF(OR($C56="S",$C56=0),0,MATCH(OFFSET($D56,0,$C56)+IF($C56&lt;&gt;1,1,COUNTIF('[1]QCI'!$A$13:$A$24,'[1]ORÇAMENTO'!E54)),OFFSET($D56,1,$C56,ROW($C$223)-ROW($C56)),0))</f>
        <v>0</v>
      </c>
      <c r="L56" s="53">
        <f t="shared" si="10"/>
      </c>
      <c r="M56" s="54" t="s">
        <v>7</v>
      </c>
      <c r="N56" s="55" t="str">
        <f t="shared" si="11"/>
        <v>Serviço</v>
      </c>
      <c r="O56" s="56" t="s">
        <v>276</v>
      </c>
      <c r="P56" s="57" t="s">
        <v>62</v>
      </c>
      <c r="Q56" s="58" t="s">
        <v>134</v>
      </c>
      <c r="R56" s="59" t="s">
        <v>127</v>
      </c>
      <c r="S56" s="60" t="s">
        <v>141</v>
      </c>
      <c r="T56" s="61">
        <f>AJ56</f>
        <v>42.05</v>
      </c>
      <c r="U56" s="62"/>
      <c r="V56" s="63" t="s">
        <v>10</v>
      </c>
      <c r="W56" s="61">
        <f t="shared" si="35"/>
        <v>0</v>
      </c>
      <c r="X56" s="64">
        <f>IF($C56="S",VTOTAL1,IF($C56=0,0,ROUND(SomaAgrup,15-13*$AF$11)))</f>
        <v>0</v>
      </c>
      <c r="Y56" s="65" t="s">
        <v>63</v>
      </c>
      <c r="Z56">
        <f t="shared" si="13"/>
      </c>
      <c r="AA56" s="66">
        <f>IF($C56="S",IF($Z56="CP",$X56,IF($Z56="RA",(($X56)*'[1]QCI'!$AA$3),0)),SomaAgrup)</f>
        <v>0</v>
      </c>
      <c r="AB56" s="67">
        <f t="shared" si="36"/>
        <v>0</v>
      </c>
      <c r="AC56" s="68">
        <f t="shared" si="37"/>
      </c>
      <c r="AD56" s="8">
        <f ca="1">IF(C56&lt;=CRONO.NivelExibicao,MAX($AD$15:OFFSET(AD56,-1,0))+IF($C56&lt;&gt;1,1,MAX(1,COUNTIF('[1]QCI'!$A$13:$A$24,OFFSET($E56,-1,0)))),"")</f>
      </c>
      <c r="AE56" s="18" t="str">
        <f t="shared" si="38"/>
        <v>SINAPI  97647 </v>
      </c>
      <c r="AF56" s="69" t="e">
        <f ca="1" t="shared" si="39"/>
        <v>#VALUE!</v>
      </c>
      <c r="AG56" s="70">
        <v>2.81</v>
      </c>
      <c r="AH56" s="71">
        <f t="shared" si="40"/>
        <v>0.2282</v>
      </c>
      <c r="AJ56" s="72">
        <v>42.05</v>
      </c>
      <c r="AL56" s="73"/>
      <c r="AM56" s="74">
        <f t="shared" si="0"/>
        <v>0</v>
      </c>
      <c r="AN56" s="75">
        <f t="shared" si="41"/>
        <v>0</v>
      </c>
    </row>
    <row r="57" spans="1:40" ht="30">
      <c r="A57" t="str">
        <f t="shared" si="34"/>
        <v>S</v>
      </c>
      <c r="B57">
        <f ca="1" t="shared" si="2"/>
        <v>2</v>
      </c>
      <c r="C57" t="str">
        <f ca="1" t="shared" si="3"/>
        <v>S</v>
      </c>
      <c r="D57">
        <f t="shared" si="4"/>
        <v>0</v>
      </c>
      <c r="E57" t="e">
        <f ca="1">IF($C57=1,OFFSET(E57,-1,0)+MAX(1,COUNTIF('[1]QCI'!$A$13:$A$24,OFFSET('[1]ORÇAMENTO'!E55,-1,0))),OFFSET(E57,-1,0))</f>
        <v>#VALUE!</v>
      </c>
      <c r="F57">
        <f ca="1" t="shared" si="5"/>
        <v>1</v>
      </c>
      <c r="G57">
        <f ca="1" t="shared" si="6"/>
        <v>0</v>
      </c>
      <c r="H57">
        <f ca="1" t="shared" si="7"/>
        <v>0</v>
      </c>
      <c r="I57">
        <f ca="1" t="shared" si="8"/>
        <v>0</v>
      </c>
      <c r="J57">
        <f ca="1" t="shared" si="33"/>
        <v>0</v>
      </c>
      <c r="K57">
        <f ca="1">IF(OR($C57="S",$C57=0),0,MATCH(OFFSET($D57,0,$C57)+IF($C57&lt;&gt;1,1,COUNTIF('[1]QCI'!$A$13:$A$24,'[1]ORÇAMENTO'!E55)),OFFSET($D57,1,$C57,ROW($C$223)-ROW($C57)),0))</f>
        <v>0</v>
      </c>
      <c r="L57" s="53">
        <f t="shared" si="10"/>
      </c>
      <c r="M57" s="54" t="s">
        <v>7</v>
      </c>
      <c r="N57" s="55" t="str">
        <f t="shared" si="11"/>
        <v>Serviço</v>
      </c>
      <c r="O57" s="56" t="s">
        <v>277</v>
      </c>
      <c r="P57" s="57" t="s">
        <v>62</v>
      </c>
      <c r="Q57" s="58" t="s">
        <v>139</v>
      </c>
      <c r="R57" s="59" t="s">
        <v>132</v>
      </c>
      <c r="S57" s="60" t="s">
        <v>141</v>
      </c>
      <c r="T57" s="61">
        <f>AJ57</f>
        <v>42.05</v>
      </c>
      <c r="U57" s="62"/>
      <c r="V57" s="63" t="s">
        <v>10</v>
      </c>
      <c r="W57" s="61">
        <f t="shared" si="35"/>
        <v>0</v>
      </c>
      <c r="X57" s="64">
        <f>IF($C57="S",VTOTAL1,IF($C57=0,0,ROUND(SomaAgrup,15-13*$AF$11)))</f>
        <v>0</v>
      </c>
      <c r="Y57" s="65" t="s">
        <v>63</v>
      </c>
      <c r="Z57">
        <f t="shared" si="13"/>
      </c>
      <c r="AA57" s="66">
        <f>IF($C57="S",IF($Z57="CP",$X57,IF($Z57="RA",(($X57)*'[1]QCI'!$AA$3),0)),SomaAgrup)</f>
        <v>0</v>
      </c>
      <c r="AB57" s="67">
        <f t="shared" si="36"/>
        <v>0</v>
      </c>
      <c r="AC57" s="68">
        <f t="shared" si="37"/>
      </c>
      <c r="AD57" s="8">
        <f ca="1">IF(C57&lt;=CRONO.NivelExibicao,MAX($AD$15:OFFSET(AD57,-1,0))+IF($C57&lt;&gt;1,1,MAX(1,COUNTIF('[1]QCI'!$A$13:$A$24,OFFSET($E57,-1,0)))),"")</f>
      </c>
      <c r="AE57" s="18" t="str">
        <f t="shared" si="38"/>
        <v>SINAPI  94195 </v>
      </c>
      <c r="AF57" s="69" t="e">
        <f ca="1" t="shared" si="39"/>
        <v>#VALUE!</v>
      </c>
      <c r="AG57" s="70">
        <v>34.47</v>
      </c>
      <c r="AH57" s="71">
        <f t="shared" si="40"/>
        <v>0.2282</v>
      </c>
      <c r="AJ57" s="72">
        <v>42.05</v>
      </c>
      <c r="AL57" s="73"/>
      <c r="AM57" s="74">
        <f t="shared" si="0"/>
        <v>0</v>
      </c>
      <c r="AN57" s="75">
        <f t="shared" si="41"/>
        <v>0</v>
      </c>
    </row>
    <row r="58" spans="1:40" ht="15">
      <c r="A58">
        <f>CHOOSE(1+LOG(1+2*(ORÇAMENTO.Nivel="Meta")+4*(ORÇAMENTO.Nivel="Nível 2")+8*(ORÇAMENTO.Nivel="Nível 3")+16*(ORÇAMENTO.Nivel="Nível 4")+32*(ORÇAMENTO.Nivel="Serviço"),2),0,1,2,3,4,"S")</f>
        <v>2</v>
      </c>
      <c r="B58">
        <f ca="1">IF(OR(C58="s",C58=0),OFFSET(B58,-1,0),C58)</f>
        <v>2</v>
      </c>
      <c r="C58">
        <f ca="1">IF(OFFSET(C58,-1,0)="L",1,IF(OFFSET(C58,-1,0)=1,2,IF(OR(A58="s",A58=0),"S",IF(AND(OFFSET(C58,-1,0)=2,A58=4),3,IF(AND(OR(OFFSET(C58,-1,0)="s",OFFSET(C58,-1,0)=0),A58&lt;&gt;"s",A58&gt;OFFSET(B58,-1,0)),OFFSET(B58,-1,0),A58)))))</f>
        <v>2</v>
      </c>
      <c r="D58">
        <f>IF(OR(C58="S",C58=0),0,IF(ISERROR(K58),J58,SMALL(J58:K58,1)))</f>
        <v>4</v>
      </c>
      <c r="E58" t="e">
        <f ca="1">IF($C58=1,OFFSET(E58,-1,0)+MAX(1,COUNTIF('[1]QCI'!$A$13:$A$24,OFFSET('[1]ORÇAMENTO'!E56,-1,0))),OFFSET(E58,-1,0))</f>
        <v>#VALUE!</v>
      </c>
      <c r="F58">
        <f ca="1">IF($C58=1,0,IF($C58=2,OFFSET(F58,-1,0)+1,OFFSET(F58,-1,0)))</f>
        <v>2</v>
      </c>
      <c r="G58">
        <f ca="1">IF(AND($C58&lt;=2,$C58&lt;&gt;0),0,IF($C58=3,OFFSET(G58,-1,0)+1,OFFSET(G58,-1,0)))</f>
        <v>0</v>
      </c>
      <c r="H58">
        <f ca="1">IF(AND($C58&lt;=3,$C58&lt;&gt;0),0,IF($C58=4,OFFSET(H58,-1,0)+1,OFFSET(H58,-1,0)))</f>
        <v>0</v>
      </c>
      <c r="I58">
        <f ca="1">IF(AND($C58&lt;=4,$C58&lt;&gt;0),0,IF(AND($C58="S",$X58&gt;0),OFFSET(I58,-1,0)+1,OFFSET(I58,-1,0)))</f>
        <v>0</v>
      </c>
      <c r="J58">
        <f ca="1" t="shared" si="33"/>
        <v>4</v>
      </c>
      <c r="K58">
        <f ca="1">IF(OR($C58="S",$C58=0),0,MATCH(OFFSET($D58,0,$C58)+IF($C58&lt;&gt;1,1,COUNTIF('[1]QCI'!$A$13:$A$24,'[1]ORÇAMENTO'!E56)),OFFSET($D58,1,$C58,ROW($C$223)-ROW($C58)),0))</f>
        <v>24</v>
      </c>
      <c r="L58" s="53" t="str">
        <f>IF(OR($X58&gt;0,$C58=1,$C58=2,$C58=3,$C58=4),"F","")</f>
        <v>F</v>
      </c>
      <c r="M58" s="54" t="s">
        <v>4</v>
      </c>
      <c r="N58" s="55" t="str">
        <f>CHOOSE(1+LOG(1+2*(C58=1)+4*(C58=2)+8*(C58=3)+16*(C58=4)+32*(C58="S"),2),"","Meta","Nível 2","Nível 3","Nível 4","Serviço")</f>
        <v>Nível 2</v>
      </c>
      <c r="O58" s="56" t="s">
        <v>278</v>
      </c>
      <c r="P58" s="57" t="s">
        <v>62</v>
      </c>
      <c r="Q58" s="58"/>
      <c r="R58" s="59" t="s">
        <v>279</v>
      </c>
      <c r="S58" s="60" t="str">
        <f>REFERENCIA.Unidade</f>
        <v>-</v>
      </c>
      <c r="T58" s="61" t="e">
        <f ca="1">OFFSET('[1]CÁLCULO'!H$15,ROW($T58)-ROW(T$15),0)</f>
        <v>#VALUE!</v>
      </c>
      <c r="U58" s="62"/>
      <c r="V58" s="63" t="s">
        <v>10</v>
      </c>
      <c r="W58" s="61">
        <f>IF($C58="S",ROUND(IF(TIPOORCAMENTO="Proposto",ORÇAMENTO.CustoUnitario*(1+$AH58),ORÇAMENTO.PrecoUnitarioLicitado),15-13*$AF$10),0)</f>
        <v>0</v>
      </c>
      <c r="X58" s="64">
        <f>ROUND(SUM(X59:X61),2)</f>
        <v>0</v>
      </c>
      <c r="Y58" s="65" t="s">
        <v>63</v>
      </c>
      <c r="Z58">
        <f>IF(AND($C58="S",$X58&gt;0),IF(ISBLANK($Y58),"RA",LEFT($Y58,2)),"")</f>
      </c>
      <c r="AA58" s="66">
        <f>IF($C58="S",IF($Z58="CP",$X58,IF($Z58="RA",(($X58)*'[1]QCI'!$AA$3),0)),SomaAgrup)</f>
        <v>0</v>
      </c>
      <c r="AB58" s="67">
        <f>IF($C58="S",IF($Z58="OU",ROUND($X58,2),0),SomaAgrup)</f>
        <v>0</v>
      </c>
      <c r="AC58" s="68" t="e">
        <f>IF($N58="","",IF(ORÇAMENTO.Descricao="","DESCRIÇÃO",IF(AND($C58="S",ORÇAMENTO.Unidade=""),"UNIDADE",IF($X58&lt;0,"VALOR NEGATIVO",IF(OR(AND(TIPOORCAMENTO="Proposto",$AG58&lt;&gt;"",$AG58&gt;0,ORÇAMENTO.CustoUnitario&gt;$AG58),AND(TIPOORCAMENTO="LICITADO",ORÇAMENTO.PrecoUnitarioLicitado&gt;$AN58)),"ACIMA REF.","")))))</f>
        <v>#VALUE!</v>
      </c>
      <c r="AD58" s="8" t="e">
        <f ca="1">IF(C58&lt;=CRONO.NivelExibicao,MAX($AD$15:OFFSET(AD58,-1,0))+IF($C58&lt;&gt;1,1,MAX(1,COUNTIF('[1]QCI'!$A$13:$A$24,OFFSET($E58,-1,0)))),"")</f>
        <v>#VALUE!</v>
      </c>
      <c r="AE58" s="18" t="b">
        <f>IF(AND($C58="S",ORÇAMENTO.CodBarra&lt;&gt;""),IF(ORÇAMENTO.Fonte="",ORÇAMENTO.CodBarra,CONCATENATE(ORÇAMENTO.Fonte," ",ORÇAMENTO.CodBarra)))</f>
        <v>0</v>
      </c>
      <c r="AF58" s="69" t="e">
        <f ca="1">IF(ISERROR(INDIRECT(ORÇAMENTO.BancoRef)),"(abra o arquivo 'Referência "&amp;Excel_BuiltIn_Database&amp;".xls)",IF(OR($C58&lt;&gt;"S",ORÇAMENTO.CodBarra=""),"(Sem Código)",IF(ISERROR(MATCH($AE58,INDIRECT(ORÇAMENTO.BancoRef),0)),"(Código não identificado nas referências)",MATCH($AE58,INDIRECT(ORÇAMENTO.BancoRef),0))))</f>
        <v>#VALUE!</v>
      </c>
      <c r="AG58" s="70" t="e">
        <f>ROUND(IF(DESONERACAO="sim",REFERENCIA.Desonerado,REFERENCIA.NaoDesonerado),2)</f>
        <v>#VALUE!</v>
      </c>
      <c r="AH58" s="71">
        <f>ROUND(IF(ISNUMBER(ORÇAMENTO.OpcaoBDI),ORÇAMENTO.OpcaoBDI,IF(LEFT(ORÇAMENTO.OpcaoBDI,3)="BDI",HLOOKUP(ORÇAMENTO.OpcaoBDI,$F$4:$H$5,2,FALSE),0)),15-11*$AF$9)</f>
        <v>0.2282</v>
      </c>
      <c r="AJ58" s="72"/>
      <c r="AL58" s="73"/>
      <c r="AM58" s="74">
        <f t="shared" si="0"/>
        <v>0</v>
      </c>
      <c r="AN58" s="75">
        <f>ROUND(ORÇAMENTO.CustoUnitario*(1+$AH58),2)</f>
        <v>0</v>
      </c>
    </row>
    <row r="59" spans="1:40" ht="45">
      <c r="A59" t="str">
        <f t="shared" si="34"/>
        <v>S</v>
      </c>
      <c r="B59">
        <f ca="1" t="shared" si="2"/>
        <v>2</v>
      </c>
      <c r="C59" t="str">
        <f ca="1" t="shared" si="3"/>
        <v>S</v>
      </c>
      <c r="D59">
        <f t="shared" si="4"/>
        <v>0</v>
      </c>
      <c r="E59" t="e">
        <f ca="1">IF($C59=1,OFFSET(E59,-1,0)+MAX(1,COUNTIF('[1]QCI'!$A$13:$A$24,OFFSET('[1]ORÇAMENTO'!E57,-1,0))),OFFSET(E59,-1,0))</f>
        <v>#VALUE!</v>
      </c>
      <c r="F59">
        <f ca="1" t="shared" si="5"/>
        <v>2</v>
      </c>
      <c r="G59">
        <f ca="1" t="shared" si="6"/>
        <v>0</v>
      </c>
      <c r="H59">
        <f ca="1" t="shared" si="7"/>
        <v>0</v>
      </c>
      <c r="I59">
        <f ca="1" t="shared" si="8"/>
        <v>0</v>
      </c>
      <c r="J59">
        <f ca="1" t="shared" si="33"/>
        <v>0</v>
      </c>
      <c r="K59">
        <f ca="1">IF(OR($C59="S",$C59=0),0,MATCH(OFFSET($D59,0,$C59)+IF($C59&lt;&gt;1,1,COUNTIF('[1]QCI'!$A$13:$A$24,'[1]ORÇAMENTO'!E57)),OFFSET($D59,1,$C59,ROW($C$223)-ROW($C59)),0))</f>
        <v>0</v>
      </c>
      <c r="L59" s="53">
        <f t="shared" si="10"/>
      </c>
      <c r="M59" s="54" t="s">
        <v>7</v>
      </c>
      <c r="N59" s="55" t="str">
        <f t="shared" si="11"/>
        <v>Serviço</v>
      </c>
      <c r="O59" s="56" t="s">
        <v>280</v>
      </c>
      <c r="P59" s="57" t="s">
        <v>81</v>
      </c>
      <c r="Q59" s="58" t="s">
        <v>82</v>
      </c>
      <c r="R59" s="59" t="s">
        <v>149</v>
      </c>
      <c r="S59" s="60" t="str">
        <f>REFERENCIA.Unidade</f>
        <v>-</v>
      </c>
      <c r="T59" s="61">
        <f>AJ59</f>
        <v>1</v>
      </c>
      <c r="U59" s="62"/>
      <c r="V59" s="63" t="s">
        <v>10</v>
      </c>
      <c r="W59" s="61">
        <f t="shared" si="35"/>
        <v>0</v>
      </c>
      <c r="X59" s="64">
        <f>IF($C59="S",VTOTAL1,IF($C59=0,0,ROUND(SomaAgrup,15-13*$AF$11)))</f>
        <v>0</v>
      </c>
      <c r="Y59" s="65" t="s">
        <v>63</v>
      </c>
      <c r="Z59">
        <f t="shared" si="13"/>
      </c>
      <c r="AA59" s="66">
        <f>IF($C59="S",IF($Z59="CP",$X59,IF($Z59="RA",(($X59)*'[1]QCI'!$AA$3),0)),SomaAgrup)</f>
        <v>0</v>
      </c>
      <c r="AB59" s="67">
        <f t="shared" si="36"/>
        <v>0</v>
      </c>
      <c r="AC59" s="68">
        <f t="shared" si="37"/>
      </c>
      <c r="AD59" s="8">
        <f ca="1">IF(C59&lt;=CRONO.NivelExibicao,MAX($AD$15:OFFSET(AD59,-1,0))+IF($C59&lt;&gt;1,1,MAX(1,COUNTIF('[1]QCI'!$A$13:$A$24,OFFSET($E59,-1,0)))),"")</f>
      </c>
      <c r="AE59" s="18" t="str">
        <f t="shared" si="38"/>
        <v>COMPOSIÇÃO 005</v>
      </c>
      <c r="AF59" s="69" t="e">
        <f ca="1" t="shared" si="39"/>
        <v>#VALUE!</v>
      </c>
      <c r="AG59" s="70">
        <v>144.64</v>
      </c>
      <c r="AH59" s="71">
        <f t="shared" si="40"/>
        <v>0.2282</v>
      </c>
      <c r="AJ59" s="72">
        <v>1</v>
      </c>
      <c r="AL59" s="73"/>
      <c r="AM59" s="74">
        <f t="shared" si="0"/>
        <v>0</v>
      </c>
      <c r="AN59" s="75">
        <f t="shared" si="41"/>
        <v>0</v>
      </c>
    </row>
    <row r="60" spans="1:40" ht="30">
      <c r="A60" t="str">
        <f t="shared" si="34"/>
        <v>S</v>
      </c>
      <c r="B60">
        <f ca="1" t="shared" si="2"/>
        <v>2</v>
      </c>
      <c r="C60" t="str">
        <f ca="1" t="shared" si="3"/>
        <v>S</v>
      </c>
      <c r="D60">
        <f t="shared" si="4"/>
        <v>0</v>
      </c>
      <c r="E60" t="e">
        <f ca="1">IF($C60=1,OFFSET(E60,-1,0)+MAX(1,COUNTIF('[1]QCI'!$A$13:$A$24,OFFSET('[1]ORÇAMENTO'!E58,-1,0))),OFFSET(E60,-1,0))</f>
        <v>#VALUE!</v>
      </c>
      <c r="F60">
        <f ca="1" t="shared" si="5"/>
        <v>2</v>
      </c>
      <c r="G60">
        <f ca="1" t="shared" si="6"/>
        <v>0</v>
      </c>
      <c r="H60">
        <f ca="1" t="shared" si="7"/>
        <v>0</v>
      </c>
      <c r="I60">
        <f ca="1" t="shared" si="8"/>
        <v>0</v>
      </c>
      <c r="J60">
        <f ca="1" t="shared" si="33"/>
        <v>0</v>
      </c>
      <c r="K60">
        <f ca="1">IF(OR($C60="S",$C60=0),0,MATCH(OFFSET($D60,0,$C60)+IF($C60&lt;&gt;1,1,COUNTIF('[1]QCI'!$A$13:$A$24,'[1]ORÇAMENTO'!E58)),OFFSET($D60,1,$C60,ROW($C$223)-ROW($C60)),0))</f>
        <v>0</v>
      </c>
      <c r="L60" s="53">
        <f t="shared" si="10"/>
      </c>
      <c r="M60" s="54" t="s">
        <v>7</v>
      </c>
      <c r="N60" s="55" t="str">
        <f t="shared" si="11"/>
        <v>Serviço</v>
      </c>
      <c r="O60" s="56" t="s">
        <v>281</v>
      </c>
      <c r="P60" s="57" t="s">
        <v>62</v>
      </c>
      <c r="Q60" s="58" t="s">
        <v>83</v>
      </c>
      <c r="R60" s="59" t="s">
        <v>282</v>
      </c>
      <c r="S60" s="60" t="str">
        <f>REFERENCIA.Unidade</f>
        <v>-</v>
      </c>
      <c r="T60" s="61">
        <f>AJ60</f>
        <v>1</v>
      </c>
      <c r="U60" s="62"/>
      <c r="V60" s="63" t="s">
        <v>10</v>
      </c>
      <c r="W60" s="61">
        <f t="shared" si="35"/>
        <v>0</v>
      </c>
      <c r="X60" s="64">
        <f>IF($C60="S",VTOTAL1,IF($C60=0,0,ROUND(SomaAgrup,15-13*$AF$11)))</f>
        <v>0</v>
      </c>
      <c r="Y60" s="65" t="s">
        <v>63</v>
      </c>
      <c r="Z60">
        <f t="shared" si="13"/>
      </c>
      <c r="AA60" s="66">
        <f>IF($C60="S",IF($Z60="CP",$X60,IF($Z60="RA",(($X60)*'[1]QCI'!$AA$3),0)),SomaAgrup)</f>
        <v>0</v>
      </c>
      <c r="AB60" s="67">
        <f t="shared" si="36"/>
        <v>0</v>
      </c>
      <c r="AC60" s="68">
        <f t="shared" si="37"/>
      </c>
      <c r="AD60" s="8">
        <f ca="1">IF(C60&lt;=CRONO.NivelExibicao,MAX($AD$15:OFFSET(AD60,-1,0))+IF($C60&lt;&gt;1,1,MAX(1,COUNTIF('[1]QCI'!$A$13:$A$24,OFFSET($E60,-1,0)))),"")</f>
      </c>
      <c r="AE60" s="18" t="str">
        <f t="shared" si="38"/>
        <v>SINAPI 93664</v>
      </c>
      <c r="AF60" s="69" t="e">
        <f ca="1" t="shared" si="39"/>
        <v>#VALUE!</v>
      </c>
      <c r="AG60" s="70">
        <v>67.32</v>
      </c>
      <c r="AH60" s="71">
        <f t="shared" si="40"/>
        <v>0.2282</v>
      </c>
      <c r="AJ60" s="72">
        <v>1</v>
      </c>
      <c r="AL60" s="73"/>
      <c r="AM60" s="74">
        <f t="shared" si="0"/>
        <v>0</v>
      </c>
      <c r="AN60" s="75">
        <f t="shared" si="41"/>
        <v>0</v>
      </c>
    </row>
    <row r="61" spans="1:40" ht="45">
      <c r="A61" t="str">
        <f>CHOOSE(1+LOG(1+2*(ORÇAMENTO.Nivel="Meta")+4*(ORÇAMENTO.Nivel="Nível 2")+8*(ORÇAMENTO.Nivel="Nível 3")+16*(ORÇAMENTO.Nivel="Nível 4")+32*(ORÇAMENTO.Nivel="Serviço"),2),0,1,2,3,4,"S")</f>
        <v>S</v>
      </c>
      <c r="B61">
        <f ca="1">IF(OR(C61="s",C61=0),OFFSET(B61,-1,0),C61)</f>
        <v>2</v>
      </c>
      <c r="C61" t="str">
        <f ca="1">IF(OFFSET(C61,-1,0)="L",1,IF(OFFSET(C61,-1,0)=1,2,IF(OR(A61="s",A61=0),"S",IF(AND(OFFSET(C61,-1,0)=2,A61=4),3,IF(AND(OR(OFFSET(C61,-1,0)="s",OFFSET(C61,-1,0)=0),A61&lt;&gt;"s",A61&gt;OFFSET(B61,-1,0)),OFFSET(B61,-1,0),A61)))))</f>
        <v>S</v>
      </c>
      <c r="D61">
        <f>IF(OR(C61="S",C61=0),0,IF(ISERROR(K61),J61,SMALL(J61:K61,1)))</f>
        <v>0</v>
      </c>
      <c r="E61" t="e">
        <f ca="1">IF($C61=1,OFFSET(E61,-1,0)+MAX(1,COUNTIF('[1]QCI'!$A$13:$A$24,OFFSET('[1]ORÇAMENTO'!E59,-1,0))),OFFSET(E61,-1,0))</f>
        <v>#VALUE!</v>
      </c>
      <c r="F61">
        <f ca="1">IF($C61=1,0,IF($C61=2,OFFSET(F61,-1,0)+1,OFFSET(F61,-1,0)))</f>
        <v>2</v>
      </c>
      <c r="G61">
        <f ca="1">IF(AND($C61&lt;=2,$C61&lt;&gt;0),0,IF($C61=3,OFFSET(G61,-1,0)+1,OFFSET(G61,-1,0)))</f>
        <v>0</v>
      </c>
      <c r="H61">
        <f ca="1">IF(AND($C61&lt;=3,$C61&lt;&gt;0),0,IF($C61=4,OFFSET(H61,-1,0)+1,OFFSET(H61,-1,0)))</f>
        <v>0</v>
      </c>
      <c r="I61">
        <f ca="1">IF(AND($C61&lt;=4,$C61&lt;&gt;0),0,IF(AND($C61="S",$X61&gt;0),OFFSET(I61,-1,0)+1,OFFSET(I61,-1,0)))</f>
        <v>0</v>
      </c>
      <c r="J61">
        <f ca="1" t="shared" si="33"/>
        <v>0</v>
      </c>
      <c r="K61">
        <f ca="1">IF(OR($C61="S",$C61=0),0,MATCH(OFFSET($D61,0,$C61)+IF($C61&lt;&gt;1,1,COUNTIF('[1]QCI'!$A$13:$A$24,'[1]ORÇAMENTO'!E59)),OFFSET($D61,1,$C61,ROW($C$223)-ROW($C61)),0))</f>
        <v>0</v>
      </c>
      <c r="L61" s="53">
        <f>IF(OR($X61&gt;0,$C61=1,$C61=2,$C61=3,$C61=4),"F","")</f>
      </c>
      <c r="M61" s="54" t="s">
        <v>7</v>
      </c>
      <c r="N61" s="55" t="str">
        <f>CHOOSE(1+LOG(1+2*(C61=1)+4*(C61=2)+8*(C61=3)+16*(C61=4)+32*(C61="S"),2),"","Meta","Nível 2","Nível 3","Nível 4","Serviço")</f>
        <v>Serviço</v>
      </c>
      <c r="O61" s="56" t="s">
        <v>283</v>
      </c>
      <c r="P61" s="57" t="s">
        <v>62</v>
      </c>
      <c r="Q61" s="58" t="s">
        <v>84</v>
      </c>
      <c r="R61" s="59" t="s">
        <v>284</v>
      </c>
      <c r="S61" s="60" t="str">
        <f>REFERENCIA.Unidade</f>
        <v>-</v>
      </c>
      <c r="T61" s="61">
        <f>AJ61</f>
        <v>3</v>
      </c>
      <c r="U61" s="62"/>
      <c r="V61" s="63" t="s">
        <v>10</v>
      </c>
      <c r="W61" s="61">
        <f>IF($C61="S",ROUND(IF(TIPOORCAMENTO="Proposto",ORÇAMENTO.CustoUnitario*(1+$AH61),ORÇAMENTO.PrecoUnitarioLicitado),15-13*$AF$10),0)</f>
        <v>0</v>
      </c>
      <c r="X61" s="64">
        <f>IF($C61="S",VTOTAL1,IF($C61=0,0,ROUND(SomaAgrup,15-13*$AF$11)))</f>
        <v>0</v>
      </c>
      <c r="Y61" s="65" t="s">
        <v>63</v>
      </c>
      <c r="Z61">
        <f>IF(AND($C61="S",$X61&gt;0),IF(ISBLANK($Y61),"RA",LEFT($Y61,2)),"")</f>
      </c>
      <c r="AA61" s="66">
        <f>IF($C61="S",IF($Z61="CP",$X61,IF($Z61="RA",(($X61)*'[1]QCI'!$AA$3),0)),SomaAgrup)</f>
        <v>0</v>
      </c>
      <c r="AB61" s="67">
        <f>IF($C61="S",IF($Z61="OU",ROUND($X61,2),0),SomaAgrup)</f>
        <v>0</v>
      </c>
      <c r="AC61" s="68">
        <f>IF($N61="","",IF(ORÇAMENTO.Descricao="","DESCRIÇÃO",IF(AND($C61="S",ORÇAMENTO.Unidade=""),"UNIDADE",IF($X61&lt;0,"VALOR NEGATIVO",IF(OR(AND(TIPOORCAMENTO="Proposto",$AG61&lt;&gt;"",$AG61&gt;0,ORÇAMENTO.CustoUnitario&gt;$AG61),AND(TIPOORCAMENTO="LICITADO",ORÇAMENTO.PrecoUnitarioLicitado&gt;$AN61)),"ACIMA REF.","")))))</f>
      </c>
      <c r="AD61" s="8">
        <f ca="1">IF(C61&lt;=CRONO.NivelExibicao,MAX($AD$15:OFFSET(AD61,-1,0))+IF($C61&lt;&gt;1,1,MAX(1,COUNTIF('[1]QCI'!$A$13:$A$24,OFFSET($E61,-1,0)))),"")</f>
      </c>
      <c r="AE61" s="18" t="str">
        <f>IF(AND($C61="S",ORÇAMENTO.CodBarra&lt;&gt;""),IF(ORÇAMENTO.Fonte="",ORÇAMENTO.CodBarra,CONCATENATE(ORÇAMENTO.Fonte," ",ORÇAMENTO.CodBarra)))</f>
        <v>SINAPI 91872</v>
      </c>
      <c r="AF61" s="69" t="e">
        <f ca="1">IF(ISERROR(INDIRECT(ORÇAMENTO.BancoRef)),"(abra o arquivo 'Referência "&amp;Excel_BuiltIn_Database&amp;".xls)",IF(OR($C61&lt;&gt;"S",ORÇAMENTO.CodBarra=""),"(Sem Código)",IF(ISERROR(MATCH($AE61,INDIRECT(ORÇAMENTO.BancoRef),0)),"(Código não identificado nas referências)",MATCH($AE61,INDIRECT(ORÇAMENTO.BancoRef),0))))</f>
        <v>#VALUE!</v>
      </c>
      <c r="AG61" s="70">
        <v>19.81</v>
      </c>
      <c r="AH61" s="71">
        <f>ROUND(IF(ISNUMBER(ORÇAMENTO.OpcaoBDI),ORÇAMENTO.OpcaoBDI,IF(LEFT(ORÇAMENTO.OpcaoBDI,3)="BDI",HLOOKUP(ORÇAMENTO.OpcaoBDI,$F$4:$H$5,2,FALSE),0)),15-11*$AF$9)</f>
        <v>0.2282</v>
      </c>
      <c r="AJ61" s="72">
        <v>3</v>
      </c>
      <c r="AL61" s="73"/>
      <c r="AM61" s="74">
        <f t="shared" si="0"/>
        <v>0</v>
      </c>
      <c r="AN61" s="75">
        <f>ROUND(ORÇAMENTO.CustoUnitario*(1+$AH61),2)</f>
        <v>0</v>
      </c>
    </row>
    <row r="62" spans="1:40" ht="15">
      <c r="A62">
        <f t="shared" si="34"/>
        <v>1</v>
      </c>
      <c r="B62">
        <f ca="1" t="shared" si="2"/>
        <v>1</v>
      </c>
      <c r="C62">
        <f ca="1" t="shared" si="3"/>
        <v>1</v>
      </c>
      <c r="D62">
        <f t="shared" si="4"/>
        <v>161</v>
      </c>
      <c r="E62" t="e">
        <f ca="1">IF($C62=1,OFFSET(E62,-1,0)+MAX(1,COUNTIF('[1]QCI'!$A$13:$A$24,OFFSET('[1]ORÇAMENTO'!E60,-1,0))),OFFSET(E62,-1,0))</f>
        <v>#VALUE!</v>
      </c>
      <c r="F62">
        <f ca="1" t="shared" si="5"/>
        <v>0</v>
      </c>
      <c r="G62">
        <f ca="1" t="shared" si="6"/>
        <v>0</v>
      </c>
      <c r="H62">
        <f ca="1" t="shared" si="7"/>
        <v>0</v>
      </c>
      <c r="I62">
        <f ca="1" t="shared" si="8"/>
        <v>0</v>
      </c>
      <c r="J62">
        <f ca="1" t="shared" si="33"/>
        <v>161</v>
      </c>
      <c r="K62" t="e">
        <f ca="1">IF(OR($C62="S",$C62=0),0,MATCH(OFFSET($D62,0,$C62)+IF($C62&lt;&gt;1,1,COUNTIF('[1]QCI'!$A$13:$A$24,'[1]ORÇAMENTO'!E60)),OFFSET($D62,1,$C62,ROW($C$223)-ROW($C62)),0))</f>
        <v>#VALUE!</v>
      </c>
      <c r="L62" s="53" t="str">
        <f t="shared" si="10"/>
        <v>F</v>
      </c>
      <c r="M62" s="54" t="s">
        <v>3</v>
      </c>
      <c r="N62" s="55" t="str">
        <f t="shared" si="11"/>
        <v>Meta</v>
      </c>
      <c r="O62" s="56" t="s">
        <v>285</v>
      </c>
      <c r="P62" s="57" t="s">
        <v>62</v>
      </c>
      <c r="Q62" s="58"/>
      <c r="R62" s="59" t="s">
        <v>85</v>
      </c>
      <c r="S62" s="60" t="str">
        <f>REFERENCIA.Unidade</f>
        <v>-</v>
      </c>
      <c r="T62" s="61" t="e">
        <f ca="1">OFFSET('[1]CÁLCULO'!H$15,ROW($T62)-ROW(T$15),0)</f>
        <v>#VALUE!</v>
      </c>
      <c r="U62" s="62"/>
      <c r="V62" s="63" t="s">
        <v>10</v>
      </c>
      <c r="W62" s="61">
        <f t="shared" si="35"/>
        <v>0</v>
      </c>
      <c r="X62" s="64">
        <f>ROUND(SUM(X63),2)</f>
        <v>0</v>
      </c>
      <c r="Y62" s="65" t="s">
        <v>63</v>
      </c>
      <c r="Z62">
        <f t="shared" si="13"/>
      </c>
      <c r="AA62" s="66">
        <f>IF($C62="S",IF($Z62="CP",$X62,IF($Z62="RA",(($X62)*'[1]QCI'!$AA$3),0)),SomaAgrup)</f>
        <v>0</v>
      </c>
      <c r="AB62" s="67">
        <f t="shared" si="36"/>
        <v>0</v>
      </c>
      <c r="AC62" s="68" t="e">
        <f t="shared" si="37"/>
        <v>#VALUE!</v>
      </c>
      <c r="AD62" s="8" t="e">
        <f ca="1">IF(C62&lt;=CRONO.NivelExibicao,MAX($AD$15:OFFSET(AD62,-1,0))+IF($C62&lt;&gt;1,1,MAX(1,COUNTIF('[1]QCI'!$A$13:$A$24,OFFSET($E62,-1,0)))),"")</f>
        <v>#VALUE!</v>
      </c>
      <c r="AE62" s="18" t="b">
        <f t="shared" si="38"/>
        <v>0</v>
      </c>
      <c r="AF62" s="69" t="e">
        <f ca="1" t="shared" si="39"/>
        <v>#VALUE!</v>
      </c>
      <c r="AG62" s="70" t="e">
        <f>ROUND(IF(DESONERACAO="sim",REFERENCIA.Desonerado,REFERENCIA.NaoDesonerado),2)</f>
        <v>#VALUE!</v>
      </c>
      <c r="AH62" s="71">
        <f t="shared" si="40"/>
        <v>0.2282</v>
      </c>
      <c r="AJ62" s="72"/>
      <c r="AL62" s="73"/>
      <c r="AM62" s="74">
        <f t="shared" si="0"/>
        <v>0</v>
      </c>
      <c r="AN62" s="75">
        <f t="shared" si="41"/>
        <v>0</v>
      </c>
    </row>
    <row r="63" spans="1:40" ht="15">
      <c r="A63" t="str">
        <f t="shared" si="34"/>
        <v>S</v>
      </c>
      <c r="B63">
        <f ca="1" t="shared" si="2"/>
        <v>2</v>
      </c>
      <c r="C63">
        <f ca="1" t="shared" si="3"/>
        <v>2</v>
      </c>
      <c r="D63">
        <f t="shared" si="4"/>
        <v>3</v>
      </c>
      <c r="E63" t="e">
        <f ca="1">IF($C63=1,OFFSET(E63,-1,0)+MAX(1,COUNTIF('[1]QCI'!$A$13:$A$24,OFFSET('[1]ORÇAMENTO'!E61,-1,0))),OFFSET(E63,-1,0))</f>
        <v>#VALUE!</v>
      </c>
      <c r="F63">
        <f ca="1" t="shared" si="5"/>
        <v>1</v>
      </c>
      <c r="G63">
        <f ca="1" t="shared" si="6"/>
        <v>0</v>
      </c>
      <c r="H63">
        <f ca="1" t="shared" si="7"/>
        <v>0</v>
      </c>
      <c r="I63">
        <f ca="1" t="shared" si="8"/>
        <v>0</v>
      </c>
      <c r="J63">
        <f ca="1" t="shared" si="33"/>
        <v>3</v>
      </c>
      <c r="K63">
        <f ca="1">IF(OR($C63="S",$C63=0),0,MATCH(OFFSET($D63,0,$C63)+IF($C63&lt;&gt;1,1,COUNTIF('[1]QCI'!$A$13:$A$24,'[1]ORÇAMENTO'!E61)),OFFSET($D63,1,$C63,ROW($C$223)-ROW($C63)),0))</f>
        <v>15</v>
      </c>
      <c r="L63" s="53" t="str">
        <f t="shared" si="10"/>
        <v>F</v>
      </c>
      <c r="M63" s="54" t="s">
        <v>7</v>
      </c>
      <c r="N63" s="55" t="str">
        <f t="shared" si="11"/>
        <v>Nível 2</v>
      </c>
      <c r="O63" s="56" t="s">
        <v>286</v>
      </c>
      <c r="P63" s="57" t="s">
        <v>62</v>
      </c>
      <c r="Q63" s="58"/>
      <c r="R63" s="59" t="s">
        <v>77</v>
      </c>
      <c r="S63" s="60" t="str">
        <f>REFERENCIA.Unidade</f>
        <v>-</v>
      </c>
      <c r="T63" s="61" t="e">
        <f ca="1">OFFSET('[1]CÁLCULO'!H$15,ROW($T63)-ROW(T$15),0)</f>
        <v>#VALUE!</v>
      </c>
      <c r="U63" s="62"/>
      <c r="V63" s="63" t="s">
        <v>10</v>
      </c>
      <c r="W63" s="61">
        <f t="shared" si="35"/>
        <v>0</v>
      </c>
      <c r="X63" s="64">
        <f>ROUND(SUM(X64:X65),2)</f>
        <v>0</v>
      </c>
      <c r="Y63" s="65" t="s">
        <v>63</v>
      </c>
      <c r="Z63">
        <f t="shared" si="13"/>
      </c>
      <c r="AA63" s="66">
        <f>IF($C63="S",IF($Z63="CP",$X63,IF($Z63="RA",(($X63)*'[1]QCI'!$AA$3),0)),SomaAgrup)</f>
        <v>0</v>
      </c>
      <c r="AB63" s="67">
        <f t="shared" si="36"/>
        <v>0</v>
      </c>
      <c r="AC63" s="68" t="e">
        <f t="shared" si="37"/>
        <v>#VALUE!</v>
      </c>
      <c r="AD63" s="8" t="e">
        <f ca="1">IF(C63&lt;=CRONO.NivelExibicao,MAX($AD$15:OFFSET(AD63,-1,0))+IF($C63&lt;&gt;1,1,MAX(1,COUNTIF('[1]QCI'!$A$13:$A$24,OFFSET($E63,-1,0)))),"")</f>
        <v>#VALUE!</v>
      </c>
      <c r="AE63" s="18" t="b">
        <f t="shared" si="38"/>
        <v>0</v>
      </c>
      <c r="AF63" s="69" t="e">
        <f ca="1" t="shared" si="39"/>
        <v>#VALUE!</v>
      </c>
      <c r="AG63" s="70" t="e">
        <f>ROUND(IF(DESONERACAO="sim",REFERENCIA.Desonerado,REFERENCIA.NaoDesonerado),2)</f>
        <v>#VALUE!</v>
      </c>
      <c r="AH63" s="71">
        <f t="shared" si="40"/>
        <v>0.2282</v>
      </c>
      <c r="AJ63" s="72"/>
      <c r="AL63" s="73"/>
      <c r="AM63" s="74">
        <f t="shared" si="0"/>
        <v>0</v>
      </c>
      <c r="AN63" s="75">
        <f t="shared" si="41"/>
        <v>0</v>
      </c>
    </row>
    <row r="64" spans="1:40" ht="30">
      <c r="A64" t="str">
        <f t="shared" si="34"/>
        <v>S</v>
      </c>
      <c r="B64">
        <f ca="1" t="shared" si="2"/>
        <v>2</v>
      </c>
      <c r="C64" t="str">
        <f ca="1" t="shared" si="3"/>
        <v>S</v>
      </c>
      <c r="D64">
        <f t="shared" si="4"/>
        <v>0</v>
      </c>
      <c r="E64" t="e">
        <f ca="1">IF($C64=1,OFFSET(E64,-1,0)+MAX(1,COUNTIF('[1]QCI'!$A$13:$A$24,OFFSET('[1]ORÇAMENTO'!E62,-1,0))),OFFSET(E64,-1,0))</f>
        <v>#VALUE!</v>
      </c>
      <c r="F64">
        <f ca="1" t="shared" si="5"/>
        <v>1</v>
      </c>
      <c r="G64">
        <f ca="1" t="shared" si="6"/>
        <v>0</v>
      </c>
      <c r="H64">
        <f ca="1" t="shared" si="7"/>
        <v>0</v>
      </c>
      <c r="I64">
        <f ca="1" t="shared" si="8"/>
        <v>0</v>
      </c>
      <c r="J64">
        <f ca="1" t="shared" si="33"/>
        <v>0</v>
      </c>
      <c r="K64">
        <f ca="1">IF(OR($C64="S",$C64=0),0,MATCH(OFFSET($D64,0,$C64)+IF($C64&lt;&gt;1,1,COUNTIF('[1]QCI'!$A$13:$A$24,'[1]ORÇAMENTO'!E62)),OFFSET($D64,1,$C64,ROW($C$223)-ROW($C64)),0))</f>
        <v>0</v>
      </c>
      <c r="L64" s="53">
        <f t="shared" si="10"/>
      </c>
      <c r="M64" s="54" t="s">
        <v>7</v>
      </c>
      <c r="N64" s="55" t="str">
        <f t="shared" si="11"/>
        <v>Serviço</v>
      </c>
      <c r="O64" s="56" t="s">
        <v>287</v>
      </c>
      <c r="P64" s="57" t="s">
        <v>62</v>
      </c>
      <c r="Q64" s="58" t="s">
        <v>134</v>
      </c>
      <c r="R64" s="59" t="s">
        <v>127</v>
      </c>
      <c r="S64" s="60" t="s">
        <v>141</v>
      </c>
      <c r="T64" s="61">
        <f>AJ64</f>
        <v>68.64</v>
      </c>
      <c r="U64" s="62"/>
      <c r="V64" s="63" t="s">
        <v>10</v>
      </c>
      <c r="W64" s="61">
        <f t="shared" si="35"/>
        <v>0</v>
      </c>
      <c r="X64" s="64">
        <f>IF($C64="S",VTOTAL1,IF($C64=0,0,ROUND(SomaAgrup,15-13*$AF$11)))</f>
        <v>0</v>
      </c>
      <c r="Y64" s="65" t="s">
        <v>63</v>
      </c>
      <c r="Z64">
        <f t="shared" si="13"/>
      </c>
      <c r="AA64" s="66">
        <f>IF($C64="S",IF($Z64="CP",$X64,IF($Z64="RA",(($X64)*'[1]QCI'!$AA$3),0)),SomaAgrup)</f>
        <v>0</v>
      </c>
      <c r="AB64" s="67">
        <f t="shared" si="36"/>
        <v>0</v>
      </c>
      <c r="AC64" s="68">
        <f t="shared" si="37"/>
      </c>
      <c r="AD64" s="8">
        <f ca="1">IF(C64&lt;=CRONO.NivelExibicao,MAX($AD$15:OFFSET(AD64,-1,0))+IF($C64&lt;&gt;1,1,MAX(1,COUNTIF('[1]QCI'!$A$13:$A$24,OFFSET($E64,-1,0)))),"")</f>
      </c>
      <c r="AE64" s="18" t="str">
        <f t="shared" si="38"/>
        <v>SINAPI  97647 </v>
      </c>
      <c r="AF64" s="69" t="e">
        <f ca="1" t="shared" si="39"/>
        <v>#VALUE!</v>
      </c>
      <c r="AG64" s="70">
        <v>2.81</v>
      </c>
      <c r="AH64" s="71">
        <f t="shared" si="40"/>
        <v>0.2282</v>
      </c>
      <c r="AJ64" s="72">
        <v>68.64</v>
      </c>
      <c r="AL64" s="73"/>
      <c r="AM64" s="74">
        <f t="shared" si="0"/>
        <v>0</v>
      </c>
      <c r="AN64" s="75">
        <f t="shared" si="41"/>
        <v>0</v>
      </c>
    </row>
    <row r="65" spans="1:40" ht="30">
      <c r="A65" t="str">
        <f t="shared" si="34"/>
        <v>S</v>
      </c>
      <c r="B65">
        <f ca="1" t="shared" si="2"/>
        <v>2</v>
      </c>
      <c r="C65" t="str">
        <f ca="1" t="shared" si="3"/>
        <v>S</v>
      </c>
      <c r="D65">
        <f t="shared" si="4"/>
        <v>0</v>
      </c>
      <c r="E65" t="e">
        <f ca="1">IF($C65=1,OFFSET(E65,-1,0)+MAX(1,COUNTIF('[1]QCI'!$A$13:$A$24,OFFSET('[1]ORÇAMENTO'!E63,-1,0))),OFFSET(E65,-1,0))</f>
        <v>#VALUE!</v>
      </c>
      <c r="F65">
        <f ca="1" t="shared" si="5"/>
        <v>1</v>
      </c>
      <c r="G65">
        <f ca="1" t="shared" si="6"/>
        <v>0</v>
      </c>
      <c r="H65">
        <f ca="1" t="shared" si="7"/>
        <v>0</v>
      </c>
      <c r="I65">
        <f ca="1" t="shared" si="8"/>
        <v>0</v>
      </c>
      <c r="J65">
        <f ca="1" t="shared" si="33"/>
        <v>0</v>
      </c>
      <c r="K65">
        <f ca="1">IF(OR($C65="S",$C65=0),0,MATCH(OFFSET($D65,0,$C65)+IF($C65&lt;&gt;1,1,COUNTIF('[1]QCI'!$A$13:$A$24,'[1]ORÇAMENTO'!E63)),OFFSET($D65,1,$C65,ROW($C$223)-ROW($C65)),0))</f>
        <v>0</v>
      </c>
      <c r="L65" s="53">
        <f t="shared" si="10"/>
      </c>
      <c r="M65" s="54" t="s">
        <v>7</v>
      </c>
      <c r="N65" s="55" t="str">
        <f t="shared" si="11"/>
        <v>Serviço</v>
      </c>
      <c r="O65" s="56" t="s">
        <v>288</v>
      </c>
      <c r="P65" s="57" t="s">
        <v>62</v>
      </c>
      <c r="Q65" s="58" t="s">
        <v>139</v>
      </c>
      <c r="R65" s="59" t="s">
        <v>132</v>
      </c>
      <c r="S65" s="60" t="s">
        <v>141</v>
      </c>
      <c r="T65" s="61">
        <f>AJ65</f>
        <v>68.64</v>
      </c>
      <c r="U65" s="62"/>
      <c r="V65" s="63" t="s">
        <v>10</v>
      </c>
      <c r="W65" s="61">
        <f t="shared" si="35"/>
        <v>0</v>
      </c>
      <c r="X65" s="64">
        <f>IF($C65="S",VTOTAL1,IF($C65=0,0,ROUND(SomaAgrup,15-13*$AF$11)))</f>
        <v>0</v>
      </c>
      <c r="Y65" s="65" t="s">
        <v>63</v>
      </c>
      <c r="Z65">
        <f t="shared" si="13"/>
      </c>
      <c r="AA65" s="66">
        <f>IF($C65="S",IF($Z65="CP",$X65,IF($Z65="RA",(($X65)*'[1]QCI'!$AA$3),0)),SomaAgrup)</f>
        <v>0</v>
      </c>
      <c r="AB65" s="67">
        <f t="shared" si="36"/>
        <v>0</v>
      </c>
      <c r="AC65" s="68">
        <f t="shared" si="37"/>
      </c>
      <c r="AD65" s="8">
        <f ca="1">IF(C65&lt;=CRONO.NivelExibicao,MAX($AD$15:OFFSET(AD65,-1,0))+IF($C65&lt;&gt;1,1,MAX(1,COUNTIF('[1]QCI'!$A$13:$A$24,OFFSET($E65,-1,0)))),"")</f>
      </c>
      <c r="AE65" s="18" t="str">
        <f t="shared" si="38"/>
        <v>SINAPI  94195 </v>
      </c>
      <c r="AF65" s="69" t="e">
        <f ca="1" t="shared" si="39"/>
        <v>#VALUE!</v>
      </c>
      <c r="AG65" s="70">
        <v>34.47</v>
      </c>
      <c r="AH65" s="71">
        <f t="shared" si="40"/>
        <v>0.2282</v>
      </c>
      <c r="AJ65" s="72">
        <v>68.64</v>
      </c>
      <c r="AL65" s="73"/>
      <c r="AM65" s="74">
        <f t="shared" si="0"/>
        <v>0</v>
      </c>
      <c r="AN65" s="75">
        <f t="shared" si="41"/>
        <v>0</v>
      </c>
    </row>
    <row r="66" spans="1:40" ht="15">
      <c r="A66">
        <f t="shared" si="34"/>
        <v>1</v>
      </c>
      <c r="B66">
        <f ca="1" t="shared" si="2"/>
        <v>1</v>
      </c>
      <c r="C66">
        <f ca="1" t="shared" si="3"/>
        <v>1</v>
      </c>
      <c r="D66">
        <f t="shared" si="4"/>
        <v>157</v>
      </c>
      <c r="E66" t="e">
        <f ca="1">IF($C66=1,OFFSET(E66,-1,0)+MAX(1,COUNTIF('[1]QCI'!$A$13:$A$24,OFFSET('[1]ORÇAMENTO'!E64,-1,0))),OFFSET(E66,-1,0))</f>
        <v>#VALUE!</v>
      </c>
      <c r="F66">
        <f ca="1" t="shared" si="5"/>
        <v>0</v>
      </c>
      <c r="G66">
        <f ca="1" t="shared" si="6"/>
        <v>0</v>
      </c>
      <c r="H66">
        <f ca="1" t="shared" si="7"/>
        <v>0</v>
      </c>
      <c r="I66">
        <f ca="1" t="shared" si="8"/>
        <v>0</v>
      </c>
      <c r="J66">
        <f ca="1" t="shared" si="33"/>
        <v>157</v>
      </c>
      <c r="K66" t="e">
        <f ca="1">IF(OR($C66="S",$C66=0),0,MATCH(OFFSET($D66,0,$C66)+IF($C66&lt;&gt;1,1,COUNTIF('[1]QCI'!$A$13:$A$24,'[1]ORÇAMENTO'!E64)),OFFSET($D66,1,$C66,ROW($C$223)-ROW($C66)),0))</f>
        <v>#VALUE!</v>
      </c>
      <c r="L66" s="53" t="str">
        <f t="shared" si="10"/>
        <v>F</v>
      </c>
      <c r="M66" s="54" t="s">
        <v>3</v>
      </c>
      <c r="N66" s="55" t="str">
        <f t="shared" si="11"/>
        <v>Meta</v>
      </c>
      <c r="O66" s="56" t="s">
        <v>289</v>
      </c>
      <c r="P66" s="57" t="s">
        <v>62</v>
      </c>
      <c r="Q66" s="58"/>
      <c r="R66" s="59" t="s">
        <v>86</v>
      </c>
      <c r="S66" s="60" t="str">
        <f>REFERENCIA.Unidade</f>
        <v>-</v>
      </c>
      <c r="T66" s="61" t="e">
        <f ca="1">OFFSET('[1]CÁLCULO'!H$15,ROW($T66)-ROW(T$15),0)</f>
        <v>#VALUE!</v>
      </c>
      <c r="U66" s="62"/>
      <c r="V66" s="63" t="s">
        <v>10</v>
      </c>
      <c r="W66" s="61">
        <f t="shared" si="35"/>
        <v>0</v>
      </c>
      <c r="X66" s="64">
        <f>ROUND(SUM(X67),2)</f>
        <v>0</v>
      </c>
      <c r="Y66" s="65" t="s">
        <v>63</v>
      </c>
      <c r="Z66">
        <f t="shared" si="13"/>
      </c>
      <c r="AA66" s="66">
        <f>IF($C66="S",IF($Z66="CP",$X66,IF($Z66="RA",(($X66)*'[1]QCI'!$AA$3),0)),SomaAgrup)</f>
        <v>0</v>
      </c>
      <c r="AB66" s="67">
        <f t="shared" si="36"/>
        <v>0</v>
      </c>
      <c r="AC66" s="68" t="e">
        <f t="shared" si="37"/>
        <v>#VALUE!</v>
      </c>
      <c r="AD66" s="8" t="e">
        <f ca="1">IF(C66&lt;=CRONO.NivelExibicao,MAX($AD$15:OFFSET(AD66,-1,0))+IF($C66&lt;&gt;1,1,MAX(1,COUNTIF('[1]QCI'!$A$13:$A$24,OFFSET($E66,-1,0)))),"")</f>
        <v>#VALUE!</v>
      </c>
      <c r="AE66" s="18" t="b">
        <f t="shared" si="38"/>
        <v>0</v>
      </c>
      <c r="AF66" s="69" t="e">
        <f ca="1" t="shared" si="39"/>
        <v>#VALUE!</v>
      </c>
      <c r="AG66" s="70" t="e">
        <f>ROUND(IF(DESONERACAO="sim",REFERENCIA.Desonerado,REFERENCIA.NaoDesonerado),2)</f>
        <v>#VALUE!</v>
      </c>
      <c r="AH66" s="71">
        <f t="shared" si="40"/>
        <v>0.2282</v>
      </c>
      <c r="AJ66" s="72"/>
      <c r="AL66" s="73"/>
      <c r="AM66" s="74">
        <f t="shared" si="0"/>
        <v>0</v>
      </c>
      <c r="AN66" s="75">
        <f t="shared" si="41"/>
        <v>0</v>
      </c>
    </row>
    <row r="67" spans="1:40" ht="15">
      <c r="A67" t="str">
        <f t="shared" si="34"/>
        <v>S</v>
      </c>
      <c r="B67">
        <f ca="1" t="shared" si="2"/>
        <v>2</v>
      </c>
      <c r="C67">
        <f ca="1" t="shared" si="3"/>
        <v>2</v>
      </c>
      <c r="D67">
        <f t="shared" si="4"/>
        <v>3</v>
      </c>
      <c r="E67" t="e">
        <f ca="1">IF($C67=1,OFFSET(E67,-1,0)+MAX(1,COUNTIF('[1]QCI'!$A$13:$A$24,OFFSET('[1]ORÇAMENTO'!E65,-1,0))),OFFSET(E67,-1,0))</f>
        <v>#VALUE!</v>
      </c>
      <c r="F67">
        <f ca="1" t="shared" si="5"/>
        <v>1</v>
      </c>
      <c r="G67">
        <f ca="1" t="shared" si="6"/>
        <v>0</v>
      </c>
      <c r="H67">
        <f ca="1" t="shared" si="7"/>
        <v>0</v>
      </c>
      <c r="I67">
        <f ca="1" t="shared" si="8"/>
        <v>0</v>
      </c>
      <c r="J67">
        <f ca="1" t="shared" si="33"/>
        <v>3</v>
      </c>
      <c r="K67">
        <f ca="1">IF(OR($C67="S",$C67=0),0,MATCH(OFFSET($D67,0,$C67)+IF($C67&lt;&gt;1,1,COUNTIF('[1]QCI'!$A$13:$A$24,'[1]ORÇAMENTO'!E65)),OFFSET($D67,1,$C67,ROW($C$223)-ROW($C67)),0))</f>
        <v>11</v>
      </c>
      <c r="L67" s="53" t="str">
        <f t="shared" si="10"/>
        <v>F</v>
      </c>
      <c r="M67" s="54" t="s">
        <v>7</v>
      </c>
      <c r="N67" s="55" t="str">
        <f t="shared" si="11"/>
        <v>Nível 2</v>
      </c>
      <c r="O67" s="56" t="s">
        <v>290</v>
      </c>
      <c r="P67" s="57" t="s">
        <v>62</v>
      </c>
      <c r="Q67" s="58"/>
      <c r="R67" s="59" t="s">
        <v>77</v>
      </c>
      <c r="S67" s="60" t="str">
        <f>REFERENCIA.Unidade</f>
        <v>-</v>
      </c>
      <c r="T67" s="61" t="e">
        <f ca="1">OFFSET('[1]CÁLCULO'!H$15,ROW($T67)-ROW(T$15),0)</f>
        <v>#VALUE!</v>
      </c>
      <c r="U67" s="62"/>
      <c r="V67" s="63" t="s">
        <v>10</v>
      </c>
      <c r="W67" s="61">
        <f t="shared" si="35"/>
        <v>0</v>
      </c>
      <c r="X67" s="64">
        <f>ROUND(SUM(X68:X69),2)</f>
        <v>0</v>
      </c>
      <c r="Y67" s="65" t="s">
        <v>63</v>
      </c>
      <c r="Z67">
        <f t="shared" si="13"/>
      </c>
      <c r="AA67" s="66">
        <f>IF($C67="S",IF($Z67="CP",$X67,IF($Z67="RA",(($X67)*'[1]QCI'!$AA$3),0)),SomaAgrup)</f>
        <v>0</v>
      </c>
      <c r="AB67" s="67">
        <f t="shared" si="36"/>
        <v>0</v>
      </c>
      <c r="AC67" s="68" t="e">
        <f t="shared" si="37"/>
        <v>#VALUE!</v>
      </c>
      <c r="AD67" s="8" t="e">
        <f ca="1">IF(C67&lt;=CRONO.NivelExibicao,MAX($AD$15:OFFSET(AD67,-1,0))+IF($C67&lt;&gt;1,1,MAX(1,COUNTIF('[1]QCI'!$A$13:$A$24,OFFSET($E67,-1,0)))),"")</f>
        <v>#VALUE!</v>
      </c>
      <c r="AE67" s="18" t="b">
        <f t="shared" si="38"/>
        <v>0</v>
      </c>
      <c r="AF67" s="69" t="e">
        <f ca="1" t="shared" si="39"/>
        <v>#VALUE!</v>
      </c>
      <c r="AG67" s="70" t="e">
        <f>ROUND(IF(DESONERACAO="sim",REFERENCIA.Desonerado,REFERENCIA.NaoDesonerado),2)</f>
        <v>#VALUE!</v>
      </c>
      <c r="AH67" s="71">
        <f t="shared" si="40"/>
        <v>0.2282</v>
      </c>
      <c r="AJ67" s="72"/>
      <c r="AL67" s="73"/>
      <c r="AM67" s="74">
        <f t="shared" si="0"/>
        <v>0</v>
      </c>
      <c r="AN67" s="75">
        <f t="shared" si="41"/>
        <v>0</v>
      </c>
    </row>
    <row r="68" spans="1:40" ht="30">
      <c r="A68" t="str">
        <f t="shared" si="34"/>
        <v>S</v>
      </c>
      <c r="B68">
        <f ca="1">IF(OR(C68="s",C68=0),OFFSET(B68,-1,0),C68)</f>
        <v>2</v>
      </c>
      <c r="C68" t="str">
        <f ca="1">IF(OFFSET(C68,-1,0)="L",1,IF(OFFSET(C68,-1,0)=1,2,IF(OR(A68="s",A68=0),"S",IF(AND(OFFSET(C68,-1,0)=2,A68=4),3,IF(AND(OR(OFFSET(C68,-1,0)="s",OFFSET(C68,-1,0)=0),A68&lt;&gt;"s",A68&gt;OFFSET(B68,-1,0)),OFFSET(B68,-1,0),A68)))))</f>
        <v>S</v>
      </c>
      <c r="D68">
        <f>IF(OR(C68="S",C68=0),0,IF(ISERROR(K68),J68,SMALL(J68:K68,1)))</f>
        <v>0</v>
      </c>
      <c r="E68" t="e">
        <f ca="1">IF($C68=1,OFFSET(E68,-1,0)+MAX(1,COUNTIF('[1]QCI'!$A$13:$A$24,OFFSET('[1]ORÇAMENTO'!E65,-1,0))),OFFSET(E68,-1,0))</f>
        <v>#VALUE!</v>
      </c>
      <c r="F68">
        <f ca="1" t="shared" si="5"/>
        <v>1</v>
      </c>
      <c r="G68">
        <f ca="1" t="shared" si="6"/>
        <v>0</v>
      </c>
      <c r="H68">
        <f ca="1" t="shared" si="7"/>
        <v>0</v>
      </c>
      <c r="I68">
        <f ca="1" t="shared" si="8"/>
        <v>0</v>
      </c>
      <c r="J68">
        <f ca="1" t="shared" si="33"/>
        <v>0</v>
      </c>
      <c r="K68">
        <f ca="1">IF(OR($C68="S",$C68=0),0,MATCH(OFFSET($D68,0,$C68)+IF($C68&lt;&gt;1,1,COUNTIF('[1]QCI'!$A$13:$A$24,'[1]ORÇAMENTO'!E65)),OFFSET($D68,1,$C68,ROW($C$223)-ROW($C68)),0))</f>
        <v>0</v>
      </c>
      <c r="L68" s="53">
        <f t="shared" si="10"/>
      </c>
      <c r="M68" s="54" t="s">
        <v>7</v>
      </c>
      <c r="N68" s="55" t="str">
        <f>CHOOSE(1+LOG(1+2*(C68=1)+4*(C68=2)+8*(C68=3)+16*(C68=4)+32*(C68="S"),2),"","Meta","Nível 2","Nível 3","Nível 4","Serviço")</f>
        <v>Serviço</v>
      </c>
      <c r="O68" s="56" t="s">
        <v>291</v>
      </c>
      <c r="P68" s="57" t="s">
        <v>62</v>
      </c>
      <c r="Q68" s="58" t="s">
        <v>134</v>
      </c>
      <c r="R68" s="59" t="s">
        <v>127</v>
      </c>
      <c r="S68" s="60" t="s">
        <v>141</v>
      </c>
      <c r="T68" s="61">
        <f>AJ68</f>
        <v>42.74</v>
      </c>
      <c r="U68" s="62"/>
      <c r="V68" s="63" t="s">
        <v>10</v>
      </c>
      <c r="W68" s="61">
        <f t="shared" si="35"/>
        <v>0</v>
      </c>
      <c r="X68" s="64">
        <f>IF($C68="S",VTOTAL1,IF($C68=0,0,ROUND(SomaAgrup,15-13*$AF$11)))</f>
        <v>0</v>
      </c>
      <c r="Y68" s="65" t="s">
        <v>63</v>
      </c>
      <c r="Z68">
        <f t="shared" si="13"/>
      </c>
      <c r="AA68" s="66">
        <f>IF($C68="S",IF($Z68="CP",$X68,IF($Z68="RA",(($X68)*'[1]QCI'!$AA$3),0)),SomaAgrup)</f>
        <v>0</v>
      </c>
      <c r="AB68" s="67">
        <f t="shared" si="36"/>
        <v>0</v>
      </c>
      <c r="AC68" s="68">
        <f t="shared" si="37"/>
      </c>
      <c r="AD68" s="8">
        <f ca="1">IF(C68&lt;=CRONO.NivelExibicao,MAX($AD$15:OFFSET(AD68,-1,0))+IF($C68&lt;&gt;1,1,MAX(1,COUNTIF('[1]QCI'!$A$13:$A$24,OFFSET($E68,-1,0)))),"")</f>
      </c>
      <c r="AE68" s="18" t="str">
        <f t="shared" si="38"/>
        <v>SINAPI  97647 </v>
      </c>
      <c r="AF68" s="69" t="e">
        <f ca="1" t="shared" si="39"/>
        <v>#VALUE!</v>
      </c>
      <c r="AG68" s="70">
        <v>2.81</v>
      </c>
      <c r="AH68" s="71">
        <f t="shared" si="40"/>
        <v>0.2282</v>
      </c>
      <c r="AJ68" s="72">
        <v>42.74</v>
      </c>
      <c r="AL68" s="73"/>
      <c r="AM68" s="74">
        <f t="shared" si="0"/>
        <v>0</v>
      </c>
      <c r="AN68" s="75">
        <f t="shared" si="41"/>
        <v>0</v>
      </c>
    </row>
    <row r="69" spans="1:40" ht="30">
      <c r="A69" t="str">
        <f t="shared" si="34"/>
        <v>S</v>
      </c>
      <c r="B69">
        <f ca="1" t="shared" si="2"/>
        <v>2</v>
      </c>
      <c r="C69" t="str">
        <f ca="1" t="shared" si="3"/>
        <v>S</v>
      </c>
      <c r="D69">
        <f t="shared" si="4"/>
        <v>0</v>
      </c>
      <c r="E69" t="e">
        <f ca="1">IF($C69=1,OFFSET(E69,-1,0)+MAX(1,COUNTIF('[1]QCI'!$A$13:$A$24,OFFSET('[1]ORÇAMENTO'!E66,-1,0))),OFFSET(E69,-1,0))</f>
        <v>#VALUE!</v>
      </c>
      <c r="F69">
        <f ca="1" t="shared" si="5"/>
        <v>1</v>
      </c>
      <c r="G69">
        <f ca="1" t="shared" si="6"/>
        <v>0</v>
      </c>
      <c r="H69">
        <f ca="1" t="shared" si="7"/>
        <v>0</v>
      </c>
      <c r="I69">
        <f ca="1" t="shared" si="8"/>
        <v>0</v>
      </c>
      <c r="J69">
        <f ca="1" t="shared" si="33"/>
        <v>0</v>
      </c>
      <c r="K69">
        <f ca="1">IF(OR($C69="S",$C69=0),0,MATCH(OFFSET($D69,0,$C69)+IF($C69&lt;&gt;1,1,COUNTIF('[1]QCI'!$A$13:$A$24,'[1]ORÇAMENTO'!E66)),OFFSET($D69,1,$C69,ROW($C$223)-ROW($C69)),0))</f>
        <v>0</v>
      </c>
      <c r="L69" s="53">
        <f t="shared" si="10"/>
      </c>
      <c r="M69" s="54" t="s">
        <v>7</v>
      </c>
      <c r="N69" s="55" t="str">
        <f t="shared" si="11"/>
        <v>Serviço</v>
      </c>
      <c r="O69" s="56" t="s">
        <v>292</v>
      </c>
      <c r="P69" s="57" t="s">
        <v>62</v>
      </c>
      <c r="Q69" s="58" t="s">
        <v>139</v>
      </c>
      <c r="R69" s="59" t="s">
        <v>132</v>
      </c>
      <c r="S69" s="60" t="s">
        <v>141</v>
      </c>
      <c r="T69" s="61">
        <f>AJ69</f>
        <v>42.74</v>
      </c>
      <c r="U69" s="62"/>
      <c r="V69" s="63" t="s">
        <v>10</v>
      </c>
      <c r="W69" s="61">
        <f t="shared" si="35"/>
        <v>0</v>
      </c>
      <c r="X69" s="64">
        <f>IF($C69="S",VTOTAL1,IF($C69=0,0,ROUND(SomaAgrup,15-13*$AF$11)))</f>
        <v>0</v>
      </c>
      <c r="Y69" s="65" t="s">
        <v>63</v>
      </c>
      <c r="Z69">
        <f t="shared" si="13"/>
      </c>
      <c r="AA69" s="66">
        <f>IF($C69="S",IF($Z69="CP",$X69,IF($Z69="RA",(($X69)*'[1]QCI'!$AA$3),0)),SomaAgrup)</f>
        <v>0</v>
      </c>
      <c r="AB69" s="67">
        <f t="shared" si="36"/>
        <v>0</v>
      </c>
      <c r="AC69" s="68">
        <f t="shared" si="37"/>
      </c>
      <c r="AD69" s="8">
        <f ca="1">IF(C69&lt;=CRONO.NivelExibicao,MAX($AD$15:OFFSET(AD69,-1,0))+IF($C69&lt;&gt;1,1,MAX(1,COUNTIF('[1]QCI'!$A$13:$A$24,OFFSET($E69,-1,0)))),"")</f>
      </c>
      <c r="AE69" s="18" t="str">
        <f t="shared" si="38"/>
        <v>SINAPI  94195 </v>
      </c>
      <c r="AF69" s="69" t="e">
        <f ca="1" t="shared" si="39"/>
        <v>#VALUE!</v>
      </c>
      <c r="AG69" s="70">
        <v>34.47</v>
      </c>
      <c r="AH69" s="71">
        <f t="shared" si="40"/>
        <v>0.2282</v>
      </c>
      <c r="AJ69" s="72">
        <v>42.74</v>
      </c>
      <c r="AL69" s="73"/>
      <c r="AM69" s="74">
        <f t="shared" si="0"/>
        <v>0</v>
      </c>
      <c r="AN69" s="75">
        <f t="shared" si="41"/>
        <v>0</v>
      </c>
    </row>
    <row r="70" spans="1:40" ht="15">
      <c r="A70">
        <f t="shared" si="34"/>
        <v>1</v>
      </c>
      <c r="B70">
        <f ca="1" t="shared" si="2"/>
        <v>1</v>
      </c>
      <c r="C70">
        <f ca="1" t="shared" si="3"/>
        <v>1</v>
      </c>
      <c r="D70">
        <f t="shared" si="4"/>
        <v>153</v>
      </c>
      <c r="E70" t="e">
        <f ca="1">IF($C70=1,OFFSET(E70,-1,0)+MAX(1,COUNTIF('[1]QCI'!$A$13:$A$24,OFFSET('[1]ORÇAMENTO'!E67,-1,0))),OFFSET(E70,-1,0))</f>
        <v>#VALUE!</v>
      </c>
      <c r="F70">
        <f ca="1" t="shared" si="5"/>
        <v>0</v>
      </c>
      <c r="G70">
        <f ca="1" t="shared" si="6"/>
        <v>0</v>
      </c>
      <c r="H70">
        <f ca="1" t="shared" si="7"/>
        <v>0</v>
      </c>
      <c r="I70">
        <f ca="1" t="shared" si="8"/>
        <v>0</v>
      </c>
      <c r="J70">
        <f ca="1" t="shared" si="33"/>
        <v>153</v>
      </c>
      <c r="K70" t="e">
        <f ca="1">IF(OR($C70="S",$C70=0),0,MATCH(OFFSET($D70,0,$C70)+IF($C70&lt;&gt;1,1,COUNTIF('[1]QCI'!$A$13:$A$24,'[1]ORÇAMENTO'!E67)),OFFSET($D70,1,$C70,ROW($C$223)-ROW($C70)),0))</f>
        <v>#VALUE!</v>
      </c>
      <c r="L70" s="53" t="str">
        <f t="shared" si="10"/>
        <v>F</v>
      </c>
      <c r="M70" s="54" t="s">
        <v>3</v>
      </c>
      <c r="N70" s="55" t="str">
        <f t="shared" si="11"/>
        <v>Meta</v>
      </c>
      <c r="O70" s="56" t="s">
        <v>293</v>
      </c>
      <c r="P70" s="57" t="s">
        <v>62</v>
      </c>
      <c r="Q70" s="58"/>
      <c r="R70" s="59" t="s">
        <v>87</v>
      </c>
      <c r="S70" s="60" t="str">
        <f>REFERENCIA.Unidade</f>
        <v>-</v>
      </c>
      <c r="T70" s="61" t="e">
        <f ca="1">OFFSET('[1]CÁLCULO'!H$15,ROW($T70)-ROW(T$15),0)</f>
        <v>#VALUE!</v>
      </c>
      <c r="U70" s="62"/>
      <c r="V70" s="63" t="s">
        <v>10</v>
      </c>
      <c r="W70" s="61">
        <f t="shared" si="35"/>
        <v>0</v>
      </c>
      <c r="X70" s="64">
        <f>ROUND(SUM(X71),2)</f>
        <v>0</v>
      </c>
      <c r="Y70" s="65" t="s">
        <v>63</v>
      </c>
      <c r="Z70">
        <f t="shared" si="13"/>
      </c>
      <c r="AA70" s="66">
        <f>IF($C70="S",IF($Z70="CP",$X70,IF($Z70="RA",(($X70)*'[1]QCI'!$AA$3),0)),SomaAgrup)</f>
        <v>0</v>
      </c>
      <c r="AB70" s="67">
        <f t="shared" si="36"/>
        <v>0</v>
      </c>
      <c r="AC70" s="68" t="e">
        <f t="shared" si="37"/>
        <v>#VALUE!</v>
      </c>
      <c r="AD70" s="8" t="e">
        <f ca="1">IF(C70&lt;=CRONO.NivelExibicao,MAX($AD$15:OFFSET(AD70,-1,0))+IF($C70&lt;&gt;1,1,MAX(1,COUNTIF('[1]QCI'!$A$13:$A$24,OFFSET($E70,-1,0)))),"")</f>
        <v>#VALUE!</v>
      </c>
      <c r="AE70" s="18" t="b">
        <f t="shared" si="38"/>
        <v>0</v>
      </c>
      <c r="AF70" s="69" t="e">
        <f ca="1" t="shared" si="39"/>
        <v>#VALUE!</v>
      </c>
      <c r="AG70" s="70" t="e">
        <f>ROUND(IF(DESONERACAO="sim",REFERENCIA.Desonerado,REFERENCIA.NaoDesonerado),2)</f>
        <v>#VALUE!</v>
      </c>
      <c r="AH70" s="71">
        <f t="shared" si="40"/>
        <v>0.2282</v>
      </c>
      <c r="AJ70" s="72"/>
      <c r="AL70" s="73"/>
      <c r="AM70" s="74">
        <f t="shared" si="0"/>
        <v>0</v>
      </c>
      <c r="AN70" s="75">
        <f t="shared" si="41"/>
        <v>0</v>
      </c>
    </row>
    <row r="71" spans="1:40" ht="15">
      <c r="A71" t="str">
        <f t="shared" si="34"/>
        <v>S</v>
      </c>
      <c r="B71">
        <f ca="1" t="shared" si="2"/>
        <v>2</v>
      </c>
      <c r="C71">
        <f ca="1" t="shared" si="3"/>
        <v>2</v>
      </c>
      <c r="D71">
        <f t="shared" si="4"/>
        <v>3</v>
      </c>
      <c r="E71" t="e">
        <f ca="1">IF($C71=1,OFFSET(E71,-1,0)+MAX(1,COUNTIF('[1]QCI'!$A$13:$A$24,OFFSET('[1]ORÇAMENTO'!E68,-1,0))),OFFSET(E71,-1,0))</f>
        <v>#VALUE!</v>
      </c>
      <c r="F71">
        <f ca="1" t="shared" si="5"/>
        <v>1</v>
      </c>
      <c r="G71">
        <f ca="1" t="shared" si="6"/>
        <v>0</v>
      </c>
      <c r="H71">
        <f ca="1" t="shared" si="7"/>
        <v>0</v>
      </c>
      <c r="I71">
        <f ca="1" t="shared" si="8"/>
        <v>0</v>
      </c>
      <c r="J71">
        <f ca="1" t="shared" si="33"/>
        <v>3</v>
      </c>
      <c r="K71">
        <f ca="1">IF(OR($C71="S",$C71=0),0,MATCH(OFFSET($D71,0,$C71)+IF($C71&lt;&gt;1,1,COUNTIF('[1]QCI'!$A$13:$A$24,'[1]ORÇAMENTO'!E68)),OFFSET($D71,1,$C71,ROW($C$223)-ROW($C71)),0))</f>
        <v>7</v>
      </c>
      <c r="L71" s="53" t="str">
        <f t="shared" si="10"/>
        <v>F</v>
      </c>
      <c r="M71" s="54" t="s">
        <v>7</v>
      </c>
      <c r="N71" s="55" t="str">
        <f t="shared" si="11"/>
        <v>Nível 2</v>
      </c>
      <c r="O71" s="56" t="s">
        <v>294</v>
      </c>
      <c r="P71" s="57" t="s">
        <v>62</v>
      </c>
      <c r="Q71" s="58"/>
      <c r="R71" s="59" t="s">
        <v>77</v>
      </c>
      <c r="S71" s="60" t="str">
        <f>REFERENCIA.Unidade</f>
        <v>-</v>
      </c>
      <c r="T71" s="61" t="e">
        <f ca="1">OFFSET('[1]CÁLCULO'!H$15,ROW($T71)-ROW(T$15),0)</f>
        <v>#VALUE!</v>
      </c>
      <c r="U71" s="62"/>
      <c r="V71" s="63" t="s">
        <v>10</v>
      </c>
      <c r="W71" s="61">
        <f t="shared" si="35"/>
        <v>0</v>
      </c>
      <c r="X71" s="64">
        <f>ROUND(SUM(X72:X73),2)</f>
        <v>0</v>
      </c>
      <c r="Y71" s="65" t="s">
        <v>63</v>
      </c>
      <c r="Z71">
        <f t="shared" si="13"/>
      </c>
      <c r="AA71" s="66">
        <f>IF($C71="S",IF($Z71="CP",$X71,IF($Z71="RA",(($X71)*'[1]QCI'!$AA$3),0)),SomaAgrup)</f>
        <v>0</v>
      </c>
      <c r="AB71" s="67">
        <f t="shared" si="36"/>
        <v>0</v>
      </c>
      <c r="AC71" s="68" t="e">
        <f t="shared" si="37"/>
        <v>#VALUE!</v>
      </c>
      <c r="AD71" s="8" t="e">
        <f ca="1">IF(C71&lt;=CRONO.NivelExibicao,MAX($AD$15:OFFSET(AD71,-1,0))+IF($C71&lt;&gt;1,1,MAX(1,COUNTIF('[1]QCI'!$A$13:$A$24,OFFSET($E71,-1,0)))),"")</f>
        <v>#VALUE!</v>
      </c>
      <c r="AE71" s="18" t="b">
        <f t="shared" si="38"/>
        <v>0</v>
      </c>
      <c r="AF71" s="69" t="e">
        <f ca="1" t="shared" si="39"/>
        <v>#VALUE!</v>
      </c>
      <c r="AG71" s="70" t="e">
        <f>ROUND(IF(DESONERACAO="sim",REFERENCIA.Desonerado,REFERENCIA.NaoDesonerado),2)</f>
        <v>#VALUE!</v>
      </c>
      <c r="AH71" s="71">
        <f t="shared" si="40"/>
        <v>0.2282</v>
      </c>
      <c r="AJ71" s="72"/>
      <c r="AL71" s="73"/>
      <c r="AM71" s="74">
        <f t="shared" si="0"/>
        <v>0</v>
      </c>
      <c r="AN71" s="75">
        <f t="shared" si="41"/>
        <v>0</v>
      </c>
    </row>
    <row r="72" spans="1:40" ht="30">
      <c r="A72" t="str">
        <f t="shared" si="34"/>
        <v>S</v>
      </c>
      <c r="B72">
        <f ca="1" t="shared" si="2"/>
        <v>2</v>
      </c>
      <c r="C72" t="str">
        <f ca="1" t="shared" si="3"/>
        <v>S</v>
      </c>
      <c r="D72">
        <f t="shared" si="4"/>
        <v>0</v>
      </c>
      <c r="E72" t="e">
        <f ca="1">IF($C72=1,OFFSET(E72,-1,0)+MAX(1,COUNTIF('[1]QCI'!$A$13:$A$24,OFFSET('[1]ORÇAMENTO'!E69,-1,0))),OFFSET(E72,-1,0))</f>
        <v>#VALUE!</v>
      </c>
      <c r="F72">
        <f ca="1" t="shared" si="5"/>
        <v>1</v>
      </c>
      <c r="G72">
        <f ca="1" t="shared" si="6"/>
        <v>0</v>
      </c>
      <c r="H72">
        <f ca="1" t="shared" si="7"/>
        <v>0</v>
      </c>
      <c r="I72">
        <f ca="1" t="shared" si="8"/>
        <v>0</v>
      </c>
      <c r="J72">
        <f ca="1" t="shared" si="33"/>
        <v>0</v>
      </c>
      <c r="K72">
        <f ca="1">IF(OR($C72="S",$C72=0),0,MATCH(OFFSET($D72,0,$C72)+IF($C72&lt;&gt;1,1,COUNTIF('[1]QCI'!$A$13:$A$24,'[1]ORÇAMENTO'!E69)),OFFSET($D72,1,$C72,ROW($C$223)-ROW($C72)),0))</f>
        <v>0</v>
      </c>
      <c r="L72" s="53">
        <f t="shared" si="10"/>
      </c>
      <c r="M72" s="54" t="s">
        <v>7</v>
      </c>
      <c r="N72" s="55" t="str">
        <f t="shared" si="11"/>
        <v>Serviço</v>
      </c>
      <c r="O72" s="56" t="s">
        <v>295</v>
      </c>
      <c r="P72" s="57" t="s">
        <v>62</v>
      </c>
      <c r="Q72" s="58" t="s">
        <v>134</v>
      </c>
      <c r="R72" s="59" t="s">
        <v>127</v>
      </c>
      <c r="S72" s="60" t="s">
        <v>141</v>
      </c>
      <c r="T72" s="61">
        <f>AJ72</f>
        <v>35.7</v>
      </c>
      <c r="U72" s="62"/>
      <c r="V72" s="63" t="s">
        <v>10</v>
      </c>
      <c r="W72" s="61">
        <f t="shared" si="35"/>
        <v>0</v>
      </c>
      <c r="X72" s="64">
        <f>IF($C72="S",VTOTAL1,IF($C72=0,0,ROUND(SomaAgrup,15-13*$AF$11)))</f>
        <v>0</v>
      </c>
      <c r="Y72" s="65" t="s">
        <v>63</v>
      </c>
      <c r="Z72">
        <f t="shared" si="13"/>
      </c>
      <c r="AA72" s="66">
        <f>IF($C72="S",IF($Z72="CP",$X72,IF($Z72="RA",(($X72)*'[1]QCI'!$AA$3),0)),SomaAgrup)</f>
        <v>0</v>
      </c>
      <c r="AB72" s="67">
        <f t="shared" si="36"/>
        <v>0</v>
      </c>
      <c r="AC72" s="68">
        <f t="shared" si="37"/>
      </c>
      <c r="AD72" s="8">
        <f ca="1">IF(C72&lt;=CRONO.NivelExibicao,MAX($AD$15:OFFSET(AD72,-1,0))+IF($C72&lt;&gt;1,1,MAX(1,COUNTIF('[1]QCI'!$A$13:$A$24,OFFSET($E72,-1,0)))),"")</f>
      </c>
      <c r="AE72" s="18" t="str">
        <f t="shared" si="38"/>
        <v>SINAPI  97647 </v>
      </c>
      <c r="AF72" s="69" t="e">
        <f ca="1" t="shared" si="39"/>
        <v>#VALUE!</v>
      </c>
      <c r="AG72" s="70">
        <v>2.81</v>
      </c>
      <c r="AH72" s="71">
        <f t="shared" si="40"/>
        <v>0.2282</v>
      </c>
      <c r="AJ72" s="72">
        <v>35.7</v>
      </c>
      <c r="AL72" s="73"/>
      <c r="AM72" s="74">
        <f t="shared" si="0"/>
        <v>0</v>
      </c>
      <c r="AN72" s="75">
        <f t="shared" si="41"/>
        <v>0</v>
      </c>
    </row>
    <row r="73" spans="1:40" ht="30">
      <c r="A73" t="str">
        <f t="shared" si="34"/>
        <v>S</v>
      </c>
      <c r="B73">
        <f ca="1" t="shared" si="2"/>
        <v>2</v>
      </c>
      <c r="C73" t="str">
        <f ca="1" t="shared" si="3"/>
        <v>S</v>
      </c>
      <c r="D73">
        <f t="shared" si="4"/>
        <v>0</v>
      </c>
      <c r="E73" t="e">
        <f ca="1">IF($C73=1,OFFSET(E73,-1,0)+MAX(1,COUNTIF('[1]QCI'!$A$13:$A$24,OFFSET('[1]ORÇAMENTO'!E70,-1,0))),OFFSET(E73,-1,0))</f>
        <v>#VALUE!</v>
      </c>
      <c r="F73">
        <f ca="1" t="shared" si="5"/>
        <v>1</v>
      </c>
      <c r="G73">
        <f ca="1" t="shared" si="6"/>
        <v>0</v>
      </c>
      <c r="H73">
        <f ca="1" t="shared" si="7"/>
        <v>0</v>
      </c>
      <c r="I73">
        <f ca="1" t="shared" si="8"/>
        <v>0</v>
      </c>
      <c r="J73">
        <f ca="1" t="shared" si="33"/>
        <v>0</v>
      </c>
      <c r="K73">
        <f ca="1">IF(OR($C73="S",$C73=0),0,MATCH(OFFSET($D73,0,$C73)+IF($C73&lt;&gt;1,1,COUNTIF('[1]QCI'!$A$13:$A$24,'[1]ORÇAMENTO'!E70)),OFFSET($D73,1,$C73,ROW($C$223)-ROW($C73)),0))</f>
        <v>0</v>
      </c>
      <c r="L73" s="53">
        <f t="shared" si="10"/>
      </c>
      <c r="M73" s="54" t="s">
        <v>7</v>
      </c>
      <c r="N73" s="55" t="str">
        <f t="shared" si="11"/>
        <v>Serviço</v>
      </c>
      <c r="O73" s="56" t="s">
        <v>296</v>
      </c>
      <c r="P73" s="57" t="s">
        <v>62</v>
      </c>
      <c r="Q73" s="58" t="s">
        <v>139</v>
      </c>
      <c r="R73" s="59" t="s">
        <v>132</v>
      </c>
      <c r="S73" s="60" t="s">
        <v>141</v>
      </c>
      <c r="T73" s="61">
        <f>AJ73</f>
        <v>35.7</v>
      </c>
      <c r="U73" s="62"/>
      <c r="V73" s="63" t="s">
        <v>10</v>
      </c>
      <c r="W73" s="61">
        <f t="shared" si="35"/>
        <v>0</v>
      </c>
      <c r="X73" s="64">
        <f>IF($C73="S",VTOTAL1,IF($C73=0,0,ROUND(SomaAgrup,15-13*$AF$11)))</f>
        <v>0</v>
      </c>
      <c r="Y73" s="65" t="s">
        <v>63</v>
      </c>
      <c r="Z73">
        <f t="shared" si="13"/>
      </c>
      <c r="AA73" s="66">
        <f>IF($C73="S",IF($Z73="CP",$X73,IF($Z73="RA",(($X73)*'[1]QCI'!$AA$3),0)),SomaAgrup)</f>
        <v>0</v>
      </c>
      <c r="AB73" s="67">
        <f t="shared" si="36"/>
        <v>0</v>
      </c>
      <c r="AC73" s="68">
        <f t="shared" si="37"/>
      </c>
      <c r="AD73" s="8">
        <f ca="1">IF(C73&lt;=CRONO.NivelExibicao,MAX($AD$15:OFFSET(AD73,-1,0))+IF($C73&lt;&gt;1,1,MAX(1,COUNTIF('[1]QCI'!$A$13:$A$24,OFFSET($E73,-1,0)))),"")</f>
      </c>
      <c r="AE73" s="18" t="str">
        <f t="shared" si="38"/>
        <v>SINAPI  94195 </v>
      </c>
      <c r="AF73" s="69" t="e">
        <f ca="1" t="shared" si="39"/>
        <v>#VALUE!</v>
      </c>
      <c r="AG73" s="70">
        <v>34.47</v>
      </c>
      <c r="AH73" s="71">
        <f t="shared" si="40"/>
        <v>0.2282</v>
      </c>
      <c r="AJ73" s="72">
        <v>35.7</v>
      </c>
      <c r="AL73" s="73"/>
      <c r="AM73" s="74">
        <f t="shared" si="0"/>
        <v>0</v>
      </c>
      <c r="AN73" s="75">
        <f t="shared" si="41"/>
        <v>0</v>
      </c>
    </row>
    <row r="74" spans="1:40" ht="15">
      <c r="A74">
        <f t="shared" si="34"/>
        <v>1</v>
      </c>
      <c r="B74">
        <f ca="1" t="shared" si="2"/>
        <v>1</v>
      </c>
      <c r="C74">
        <f ca="1" t="shared" si="3"/>
        <v>1</v>
      </c>
      <c r="D74">
        <f t="shared" si="4"/>
        <v>149</v>
      </c>
      <c r="E74" t="e">
        <f ca="1">IF($C74=1,OFFSET(E74,-1,0)+MAX(1,COUNTIF('[1]QCI'!$A$13:$A$24,OFFSET('[1]ORÇAMENTO'!E71,-1,0))),OFFSET(E74,-1,0))</f>
        <v>#VALUE!</v>
      </c>
      <c r="F74">
        <f ca="1" t="shared" si="5"/>
        <v>0</v>
      </c>
      <c r="G74">
        <f ca="1" t="shared" si="6"/>
        <v>0</v>
      </c>
      <c r="H74">
        <f ca="1" t="shared" si="7"/>
        <v>0</v>
      </c>
      <c r="I74">
        <f ca="1" t="shared" si="8"/>
        <v>0</v>
      </c>
      <c r="J74">
        <f ca="1" t="shared" si="33"/>
        <v>149</v>
      </c>
      <c r="K74" t="e">
        <f ca="1">IF(OR($C74="S",$C74=0),0,MATCH(OFFSET($D74,0,$C74)+IF($C74&lt;&gt;1,1,COUNTIF('[1]QCI'!$A$13:$A$24,'[1]ORÇAMENTO'!E71)),OFFSET($D74,1,$C74,ROW($C$223)-ROW($C74)),0))</f>
        <v>#VALUE!</v>
      </c>
      <c r="L74" s="53" t="str">
        <f t="shared" si="10"/>
        <v>F</v>
      </c>
      <c r="M74" s="54" t="s">
        <v>3</v>
      </c>
      <c r="N74" s="55" t="str">
        <f t="shared" si="11"/>
        <v>Meta</v>
      </c>
      <c r="O74" s="56" t="s">
        <v>297</v>
      </c>
      <c r="P74" s="57" t="s">
        <v>62</v>
      </c>
      <c r="Q74" s="58"/>
      <c r="R74" s="59" t="s">
        <v>88</v>
      </c>
      <c r="S74" s="60" t="str">
        <f>REFERENCIA.Unidade</f>
        <v>-</v>
      </c>
      <c r="T74" s="61" t="e">
        <f ca="1">OFFSET('[1]CÁLCULO'!H$15,ROW($T74)-ROW(T$15),0)</f>
        <v>#VALUE!</v>
      </c>
      <c r="U74" s="62"/>
      <c r="V74" s="63" t="s">
        <v>10</v>
      </c>
      <c r="W74" s="61">
        <f t="shared" si="35"/>
        <v>0</v>
      </c>
      <c r="X74" s="64">
        <f>ROUND(SUM(X75,X78,X82,X86),2)</f>
        <v>0</v>
      </c>
      <c r="Y74" s="65" t="s">
        <v>63</v>
      </c>
      <c r="Z74">
        <f t="shared" si="13"/>
      </c>
      <c r="AA74" s="66">
        <f>IF($C74="S",IF($Z74="CP",$X74,IF($Z74="RA",(($X74)*'[1]QCI'!$AA$3),0)),SomaAgrup)</f>
        <v>0</v>
      </c>
      <c r="AB74" s="67">
        <f t="shared" si="36"/>
        <v>0</v>
      </c>
      <c r="AC74" s="68" t="e">
        <f t="shared" si="37"/>
        <v>#VALUE!</v>
      </c>
      <c r="AD74" s="8" t="e">
        <f ca="1">IF(C74&lt;=CRONO.NivelExibicao,MAX($AD$15:OFFSET(AD74,-1,0))+IF($C74&lt;&gt;1,1,MAX(1,COUNTIF('[1]QCI'!$A$13:$A$24,OFFSET($E74,-1,0)))),"")</f>
        <v>#VALUE!</v>
      </c>
      <c r="AE74" s="18" t="b">
        <f t="shared" si="38"/>
        <v>0</v>
      </c>
      <c r="AF74" s="69" t="e">
        <f ca="1" t="shared" si="39"/>
        <v>#VALUE!</v>
      </c>
      <c r="AG74" s="70" t="e">
        <f>ROUND(IF(DESONERACAO="sim",REFERENCIA.Desonerado,REFERENCIA.NaoDesonerado),2)</f>
        <v>#VALUE!</v>
      </c>
      <c r="AH74" s="71">
        <f t="shared" si="40"/>
        <v>0.2282</v>
      </c>
      <c r="AJ74" s="72"/>
      <c r="AL74" s="73"/>
      <c r="AM74" s="74">
        <f t="shared" si="0"/>
        <v>0</v>
      </c>
      <c r="AN74" s="75">
        <f t="shared" si="41"/>
        <v>0</v>
      </c>
    </row>
    <row r="75" spans="1:40" ht="15">
      <c r="A75" t="str">
        <f t="shared" si="34"/>
        <v>S</v>
      </c>
      <c r="B75">
        <f ca="1" t="shared" si="2"/>
        <v>2</v>
      </c>
      <c r="C75">
        <f ca="1" t="shared" si="3"/>
        <v>2</v>
      </c>
      <c r="D75">
        <f t="shared" si="4"/>
        <v>3</v>
      </c>
      <c r="E75" t="e">
        <f ca="1">IF($C75=1,OFFSET(E75,-1,0)+MAX(1,COUNTIF('[1]QCI'!$A$13:$A$24,OFFSET('[1]ORÇAMENTO'!E72,-1,0))),OFFSET(E75,-1,0))</f>
        <v>#VALUE!</v>
      </c>
      <c r="F75">
        <f ca="1" t="shared" si="5"/>
        <v>1</v>
      </c>
      <c r="G75">
        <f ca="1" t="shared" si="6"/>
        <v>0</v>
      </c>
      <c r="H75">
        <f ca="1" t="shared" si="7"/>
        <v>0</v>
      </c>
      <c r="I75">
        <f ca="1" t="shared" si="8"/>
        <v>0</v>
      </c>
      <c r="J75">
        <f ca="1" t="shared" si="33"/>
        <v>18</v>
      </c>
      <c r="K75">
        <f ca="1">IF(OR($C75="S",$C75=0),0,MATCH(OFFSET($D75,0,$C75)+IF($C75&lt;&gt;1,1,COUNTIF('[1]QCI'!$A$13:$A$24,'[1]ORÇAMENTO'!E72)),OFFSET($D75,1,$C75,ROW($C$223)-ROW($C75)),0))</f>
        <v>3</v>
      </c>
      <c r="L75" s="53" t="str">
        <f t="shared" si="10"/>
        <v>F</v>
      </c>
      <c r="M75" s="54" t="s">
        <v>7</v>
      </c>
      <c r="N75" s="55" t="str">
        <f t="shared" si="11"/>
        <v>Nível 2</v>
      </c>
      <c r="O75" s="56" t="s">
        <v>298</v>
      </c>
      <c r="P75" s="57" t="s">
        <v>62</v>
      </c>
      <c r="Q75" s="58"/>
      <c r="R75" s="59" t="s">
        <v>89</v>
      </c>
      <c r="S75" s="60" t="str">
        <f>REFERENCIA.Unidade</f>
        <v>-</v>
      </c>
      <c r="T75" s="61" t="e">
        <f ca="1">OFFSET('[1]CÁLCULO'!H$15,ROW($T75)-ROW(T$15),0)</f>
        <v>#VALUE!</v>
      </c>
      <c r="U75" s="62"/>
      <c r="V75" s="63" t="s">
        <v>10</v>
      </c>
      <c r="W75" s="61">
        <f t="shared" si="35"/>
        <v>0</v>
      </c>
      <c r="X75" s="64">
        <f>ROUND(SUM(X76:X77),2)</f>
        <v>0</v>
      </c>
      <c r="Y75" s="65" t="s">
        <v>63</v>
      </c>
      <c r="Z75">
        <f t="shared" si="13"/>
      </c>
      <c r="AA75" s="66">
        <f>IF($C75="S",IF($Z75="CP",$X75,IF($Z75="RA",(($X75)*'[1]QCI'!$AA$3),0)),SomaAgrup)</f>
        <v>0</v>
      </c>
      <c r="AB75" s="67">
        <f t="shared" si="36"/>
        <v>0</v>
      </c>
      <c r="AC75" s="68" t="e">
        <f t="shared" si="37"/>
        <v>#VALUE!</v>
      </c>
      <c r="AD75" s="8" t="e">
        <f ca="1">IF(C75&lt;=CRONO.NivelExibicao,MAX($AD$15:OFFSET(AD75,-1,0))+IF($C75&lt;&gt;1,1,MAX(1,COUNTIF('[1]QCI'!$A$13:$A$24,OFFSET($E75,-1,0)))),"")</f>
        <v>#VALUE!</v>
      </c>
      <c r="AE75" s="18" t="b">
        <f t="shared" si="38"/>
        <v>0</v>
      </c>
      <c r="AF75" s="69" t="e">
        <f ca="1" t="shared" si="39"/>
        <v>#VALUE!</v>
      </c>
      <c r="AG75" s="70" t="e">
        <f>ROUND(IF(DESONERACAO="sim",REFERENCIA.Desonerado,REFERENCIA.NaoDesonerado),2)</f>
        <v>#VALUE!</v>
      </c>
      <c r="AH75" s="71">
        <f t="shared" si="40"/>
        <v>0.2282</v>
      </c>
      <c r="AJ75" s="72"/>
      <c r="AL75" s="73"/>
      <c r="AM75" s="74">
        <f t="shared" si="0"/>
        <v>0</v>
      </c>
      <c r="AN75" s="75">
        <f t="shared" si="41"/>
        <v>0</v>
      </c>
    </row>
    <row r="76" spans="1:40" ht="30">
      <c r="A76" t="str">
        <f t="shared" si="34"/>
        <v>S</v>
      </c>
      <c r="B76">
        <f ca="1" t="shared" si="2"/>
        <v>2</v>
      </c>
      <c r="C76" t="str">
        <f ca="1" t="shared" si="3"/>
        <v>S</v>
      </c>
      <c r="D76">
        <f t="shared" si="4"/>
        <v>0</v>
      </c>
      <c r="E76" t="e">
        <f ca="1">IF($C76=1,OFFSET(E76,-1,0)+MAX(1,COUNTIF('[1]QCI'!$A$13:$A$24,OFFSET('[1]ORÇAMENTO'!E74,-1,0))),OFFSET(E76,-1,0))</f>
        <v>#VALUE!</v>
      </c>
      <c r="F76">
        <f ca="1" t="shared" si="5"/>
        <v>1</v>
      </c>
      <c r="G76">
        <f ca="1" t="shared" si="6"/>
        <v>0</v>
      </c>
      <c r="H76">
        <f ca="1" t="shared" si="7"/>
        <v>0</v>
      </c>
      <c r="I76">
        <f ca="1" t="shared" si="8"/>
        <v>0</v>
      </c>
      <c r="J76">
        <f ca="1" t="shared" si="33"/>
        <v>0</v>
      </c>
      <c r="K76">
        <f ca="1">IF(OR($C76="S",$C76=0),0,MATCH(OFFSET($D76,0,$C76)+IF($C76&lt;&gt;1,1,COUNTIF('[1]QCI'!$A$13:$A$24,'[1]ORÇAMENTO'!E74)),OFFSET($D76,1,$C76,ROW($C$223)-ROW($C76)),0))</f>
        <v>0</v>
      </c>
      <c r="L76" s="53">
        <f t="shared" si="10"/>
      </c>
      <c r="M76" s="54" t="s">
        <v>7</v>
      </c>
      <c r="N76" s="55" t="str">
        <f t="shared" si="11"/>
        <v>Serviço</v>
      </c>
      <c r="O76" s="56" t="s">
        <v>299</v>
      </c>
      <c r="P76" s="57" t="s">
        <v>62</v>
      </c>
      <c r="Q76" s="58" t="s">
        <v>135</v>
      </c>
      <c r="R76" s="59" t="s">
        <v>128</v>
      </c>
      <c r="S76" s="60" t="s">
        <v>141</v>
      </c>
      <c r="T76" s="61">
        <f>AJ76</f>
        <v>25.21</v>
      </c>
      <c r="U76" s="62"/>
      <c r="V76" s="63" t="s">
        <v>10</v>
      </c>
      <c r="W76" s="61">
        <f t="shared" si="35"/>
        <v>0</v>
      </c>
      <c r="X76" s="64">
        <f>IF($C76="S",VTOTAL1,IF($C76=0,0,ROUND(SomaAgrup,15-13*$AF$11)))</f>
        <v>0</v>
      </c>
      <c r="Y76" s="65" t="s">
        <v>63</v>
      </c>
      <c r="Z76">
        <f t="shared" si="13"/>
      </c>
      <c r="AA76" s="66">
        <f>IF($C76="S",IF($Z76="CP",$X76,IF($Z76="RA",(($X76)*'[1]QCI'!$AA$3),0)),SomaAgrup)</f>
        <v>0</v>
      </c>
      <c r="AB76" s="67">
        <f t="shared" si="36"/>
        <v>0</v>
      </c>
      <c r="AC76" s="68">
        <f t="shared" si="37"/>
      </c>
      <c r="AD76" s="8">
        <f ca="1">IF(C76&lt;=CRONO.NivelExibicao,MAX($AD$15:OFFSET(AD76,-1,0))+IF($C76&lt;&gt;1,1,MAX(1,COUNTIF('[1]QCI'!$A$13:$A$24,OFFSET($E76,-1,0)))),"")</f>
      </c>
      <c r="AE76" s="18" t="str">
        <f t="shared" si="38"/>
        <v>SINAPI  97650 </v>
      </c>
      <c r="AF76" s="69" t="e">
        <f ca="1" t="shared" si="39"/>
        <v>#VALUE!</v>
      </c>
      <c r="AG76" s="70">
        <v>6.04</v>
      </c>
      <c r="AH76" s="71">
        <f t="shared" si="40"/>
        <v>0.2282</v>
      </c>
      <c r="AJ76" s="72">
        <v>25.21</v>
      </c>
      <c r="AL76" s="73"/>
      <c r="AM76" s="74">
        <f t="shared" si="0"/>
        <v>0</v>
      </c>
      <c r="AN76" s="75">
        <f t="shared" si="41"/>
        <v>0</v>
      </c>
    </row>
    <row r="77" spans="1:40" ht="30">
      <c r="A77" t="str">
        <f t="shared" si="34"/>
        <v>S</v>
      </c>
      <c r="B77">
        <f ca="1" t="shared" si="2"/>
        <v>2</v>
      </c>
      <c r="C77" t="str">
        <f ca="1" t="shared" si="3"/>
        <v>S</v>
      </c>
      <c r="D77">
        <f t="shared" si="4"/>
        <v>0</v>
      </c>
      <c r="E77" t="e">
        <f ca="1">IF($C77=1,OFFSET(E77,-1,0)+MAX(1,COUNTIF('[1]QCI'!$A$13:$A$24,OFFSET('[1]ORÇAMENTO'!E75,-1,0))),OFFSET(E77,-1,0))</f>
        <v>#VALUE!</v>
      </c>
      <c r="F77">
        <f ca="1" t="shared" si="5"/>
        <v>1</v>
      </c>
      <c r="G77">
        <f ca="1" t="shared" si="6"/>
        <v>0</v>
      </c>
      <c r="H77">
        <f ca="1" t="shared" si="7"/>
        <v>0</v>
      </c>
      <c r="I77">
        <f ca="1" t="shared" si="8"/>
        <v>0</v>
      </c>
      <c r="J77">
        <f ca="1" t="shared" si="33"/>
        <v>0</v>
      </c>
      <c r="K77">
        <f ca="1">IF(OR($C77="S",$C77=0),0,MATCH(OFFSET($D77,0,$C77)+IF($C77&lt;&gt;1,1,COUNTIF('[1]QCI'!$A$13:$A$24,'[1]ORÇAMENTO'!E75)),OFFSET($D77,1,$C77,ROW($C$223)-ROW($C77)),0))</f>
        <v>0</v>
      </c>
      <c r="L77" s="53">
        <f t="shared" si="10"/>
      </c>
      <c r="M77" s="54" t="s">
        <v>7</v>
      </c>
      <c r="N77" s="55" t="str">
        <f t="shared" si="11"/>
        <v>Serviço</v>
      </c>
      <c r="O77" s="56" t="s">
        <v>300</v>
      </c>
      <c r="P77" s="57" t="s">
        <v>62</v>
      </c>
      <c r="Q77" s="58" t="s">
        <v>136</v>
      </c>
      <c r="R77" s="59" t="s">
        <v>129</v>
      </c>
      <c r="S77" s="60" t="s">
        <v>142</v>
      </c>
      <c r="T77" s="61">
        <f>AJ77</f>
        <v>5</v>
      </c>
      <c r="U77" s="62"/>
      <c r="V77" s="63" t="s">
        <v>10</v>
      </c>
      <c r="W77" s="61">
        <f t="shared" si="35"/>
        <v>0</v>
      </c>
      <c r="X77" s="64">
        <f>IF($C77="S",VTOTAL1,IF($C77=0,0,ROUND(SomaAgrup,15-13*$AF$11)))</f>
        <v>0</v>
      </c>
      <c r="Y77" s="65" t="s">
        <v>63</v>
      </c>
      <c r="Z77">
        <f t="shared" si="13"/>
      </c>
      <c r="AA77" s="66">
        <f>IF($C77="S",IF($Z77="CP",$X77,IF($Z77="RA",(($X77)*'[1]QCI'!$AA$3),0)),SomaAgrup)</f>
        <v>0</v>
      </c>
      <c r="AB77" s="67">
        <f t="shared" si="36"/>
        <v>0</v>
      </c>
      <c r="AC77" s="68">
        <f t="shared" si="37"/>
      </c>
      <c r="AD77" s="8">
        <f ca="1">IF(C77&lt;=CRONO.NivelExibicao,MAX($AD$15:OFFSET(AD77,-1,0))+IF($C77&lt;&gt;1,1,MAX(1,COUNTIF('[1]QCI'!$A$13:$A$24,OFFSET($E77,-1,0)))),"")</f>
      </c>
      <c r="AE77" s="18" t="str">
        <f t="shared" si="38"/>
        <v>SINAPI  97652 </v>
      </c>
      <c r="AF77" s="69" t="e">
        <f ca="1" t="shared" si="39"/>
        <v>#VALUE!</v>
      </c>
      <c r="AG77" s="70">
        <v>151.74</v>
      </c>
      <c r="AH77" s="71">
        <f t="shared" si="40"/>
        <v>0.2282</v>
      </c>
      <c r="AJ77" s="72">
        <v>5</v>
      </c>
      <c r="AL77" s="73"/>
      <c r="AM77" s="74">
        <f t="shared" si="0"/>
        <v>0</v>
      </c>
      <c r="AN77" s="75">
        <f t="shared" si="41"/>
        <v>0</v>
      </c>
    </row>
    <row r="78" spans="1:40" ht="15">
      <c r="A78">
        <f t="shared" si="34"/>
        <v>2</v>
      </c>
      <c r="B78">
        <f ca="1" t="shared" si="2"/>
        <v>2</v>
      </c>
      <c r="C78">
        <f ca="1" t="shared" si="3"/>
        <v>2</v>
      </c>
      <c r="D78">
        <f t="shared" si="4"/>
        <v>4</v>
      </c>
      <c r="E78" t="e">
        <f ca="1">IF($C78=1,OFFSET(E78,-1,0)+MAX(1,COUNTIF('[1]QCI'!$A$13:$A$24,OFFSET('[1]ORÇAMENTO'!E76,-1,0))),OFFSET(E78,-1,0))</f>
        <v>#VALUE!</v>
      </c>
      <c r="F78">
        <f ca="1" t="shared" si="5"/>
        <v>2</v>
      </c>
      <c r="G78">
        <f ca="1" t="shared" si="6"/>
        <v>0</v>
      </c>
      <c r="H78">
        <f ca="1" t="shared" si="7"/>
        <v>0</v>
      </c>
      <c r="I78">
        <f ca="1" t="shared" si="8"/>
        <v>0</v>
      </c>
      <c r="J78">
        <f ca="1" t="shared" si="33"/>
        <v>15</v>
      </c>
      <c r="K78">
        <f ca="1">IF(OR($C78="S",$C78=0),0,MATCH(OFFSET($D78,0,$C78)+IF($C78&lt;&gt;1,1,COUNTIF('[1]QCI'!$A$13:$A$24,'[1]ORÇAMENTO'!E76)),OFFSET($D78,1,$C78,ROW($C$223)-ROW($C78)),0))</f>
        <v>4</v>
      </c>
      <c r="L78" s="53" t="str">
        <f t="shared" si="10"/>
        <v>F</v>
      </c>
      <c r="M78" s="54" t="s">
        <v>4</v>
      </c>
      <c r="N78" s="55" t="str">
        <f t="shared" si="11"/>
        <v>Nível 2</v>
      </c>
      <c r="O78" s="56" t="s">
        <v>301</v>
      </c>
      <c r="P78" s="57" t="s">
        <v>62</v>
      </c>
      <c r="Q78" s="58"/>
      <c r="R78" s="59" t="s">
        <v>90</v>
      </c>
      <c r="S78" s="60" t="str">
        <f>REFERENCIA.Unidade</f>
        <v>-</v>
      </c>
      <c r="T78" s="61" t="e">
        <f ca="1">OFFSET('[1]CÁLCULO'!H$15,ROW($T78)-ROW(T$15),0)</f>
        <v>#VALUE!</v>
      </c>
      <c r="U78" s="62"/>
      <c r="V78" s="63" t="s">
        <v>10</v>
      </c>
      <c r="W78" s="61">
        <f t="shared" si="35"/>
        <v>0</v>
      </c>
      <c r="X78" s="64">
        <f>ROUND(SUM(X79:X81),2)</f>
        <v>0</v>
      </c>
      <c r="Y78" s="65" t="s">
        <v>63</v>
      </c>
      <c r="Z78">
        <f t="shared" si="13"/>
      </c>
      <c r="AA78" s="66">
        <f>IF($C78="S",IF($Z78="CP",$X78,IF($Z78="RA",(($X78)*'[1]QCI'!$AA$3),0)),SomaAgrup)</f>
        <v>0</v>
      </c>
      <c r="AB78" s="67">
        <f t="shared" si="36"/>
        <v>0</v>
      </c>
      <c r="AC78" s="68" t="e">
        <f t="shared" si="37"/>
        <v>#VALUE!</v>
      </c>
      <c r="AD78" s="8" t="e">
        <f ca="1">IF(C78&lt;=CRONO.NivelExibicao,MAX($AD$15:OFFSET(AD78,-1,0))+IF($C78&lt;&gt;1,1,MAX(1,COUNTIF('[1]QCI'!$A$13:$A$24,OFFSET($E78,-1,0)))),"")</f>
        <v>#VALUE!</v>
      </c>
      <c r="AE78" s="18" t="b">
        <f t="shared" si="38"/>
        <v>0</v>
      </c>
      <c r="AF78" s="69" t="e">
        <f ca="1" t="shared" si="39"/>
        <v>#VALUE!</v>
      </c>
      <c r="AG78" s="70" t="e">
        <f>ROUND(IF(DESONERACAO="sim",REFERENCIA.Desonerado,REFERENCIA.NaoDesonerado),2)</f>
        <v>#VALUE!</v>
      </c>
      <c r="AH78" s="71">
        <f t="shared" si="40"/>
        <v>0.2282</v>
      </c>
      <c r="AJ78" s="72"/>
      <c r="AL78" s="73"/>
      <c r="AM78" s="74">
        <f t="shared" si="0"/>
        <v>0</v>
      </c>
      <c r="AN78" s="75">
        <f t="shared" si="41"/>
        <v>0</v>
      </c>
    </row>
    <row r="79" spans="1:40" ht="45">
      <c r="A79" t="str">
        <f t="shared" si="34"/>
        <v>S</v>
      </c>
      <c r="B79">
        <f ca="1" t="shared" si="2"/>
        <v>2</v>
      </c>
      <c r="C79" t="str">
        <f ca="1" t="shared" si="3"/>
        <v>S</v>
      </c>
      <c r="D79">
        <f t="shared" si="4"/>
        <v>0</v>
      </c>
      <c r="E79" t="e">
        <f ca="1">IF($C79=1,OFFSET(E79,-1,0)+MAX(1,COUNTIF('[1]QCI'!$A$13:$A$24,OFFSET('[1]ORÇAMENTO'!E77,-1,0))),OFFSET(E79,-1,0))</f>
        <v>#VALUE!</v>
      </c>
      <c r="F79">
        <f ca="1" t="shared" si="5"/>
        <v>2</v>
      </c>
      <c r="G79">
        <f ca="1" t="shared" si="6"/>
        <v>0</v>
      </c>
      <c r="H79">
        <f ca="1" t="shared" si="7"/>
        <v>0</v>
      </c>
      <c r="I79">
        <f ca="1" t="shared" si="8"/>
        <v>0</v>
      </c>
      <c r="J79">
        <f ca="1" t="shared" si="33"/>
        <v>0</v>
      </c>
      <c r="K79">
        <f ca="1">IF(OR($C79="S",$C79=0),0,MATCH(OFFSET($D79,0,$C79)+IF($C79&lt;&gt;1,1,COUNTIF('[1]QCI'!$A$13:$A$24,'[1]ORÇAMENTO'!E77)),OFFSET($D79,1,$C79,ROW($C$223)-ROW($C79)),0))</f>
        <v>0</v>
      </c>
      <c r="L79" s="53">
        <f t="shared" si="10"/>
      </c>
      <c r="M79" s="54" t="s">
        <v>7</v>
      </c>
      <c r="N79" s="55" t="str">
        <f t="shared" si="11"/>
        <v>Serviço</v>
      </c>
      <c r="O79" s="56" t="s">
        <v>302</v>
      </c>
      <c r="P79" s="57" t="s">
        <v>62</v>
      </c>
      <c r="Q79" s="58" t="s">
        <v>150</v>
      </c>
      <c r="R79" s="59" t="s">
        <v>153</v>
      </c>
      <c r="S79" s="60" t="s">
        <v>142</v>
      </c>
      <c r="T79" s="61">
        <f>AJ79</f>
        <v>3</v>
      </c>
      <c r="U79" s="62"/>
      <c r="V79" s="63" t="s">
        <v>10</v>
      </c>
      <c r="W79" s="61">
        <f t="shared" si="35"/>
        <v>0</v>
      </c>
      <c r="X79" s="64">
        <f>IF($C79="S",VTOTAL1,IF($C79=0,0,ROUND(SomaAgrup,15-13*$AF$11)))</f>
        <v>0</v>
      </c>
      <c r="Y79" s="65" t="s">
        <v>63</v>
      </c>
      <c r="Z79">
        <f t="shared" si="13"/>
      </c>
      <c r="AA79" s="66">
        <f>IF($C79="S",IF($Z79="CP",$X79,IF($Z79="RA",(($X79)*'[1]QCI'!$AA$3),0)),SomaAgrup)</f>
        <v>0</v>
      </c>
      <c r="AB79" s="67">
        <f t="shared" si="36"/>
        <v>0</v>
      </c>
      <c r="AC79" s="68">
        <f t="shared" si="37"/>
      </c>
      <c r="AD79" s="8">
        <f ca="1">IF(C79&lt;=CRONO.NivelExibicao,MAX($AD$15:OFFSET(AD79,-1,0))+IF($C79&lt;&gt;1,1,MAX(1,COUNTIF('[1]QCI'!$A$13:$A$24,OFFSET($E79,-1,0)))),"")</f>
      </c>
      <c r="AE79" s="18" t="str">
        <f t="shared" si="38"/>
        <v>SINAPI  92604 </v>
      </c>
      <c r="AF79" s="69" t="e">
        <f ca="1" t="shared" si="39"/>
        <v>#VALUE!</v>
      </c>
      <c r="AG79" s="70">
        <v>844.78</v>
      </c>
      <c r="AH79" s="71">
        <f t="shared" si="40"/>
        <v>0.2282</v>
      </c>
      <c r="AJ79" s="72">
        <v>3</v>
      </c>
      <c r="AL79" s="73"/>
      <c r="AM79" s="74">
        <f t="shared" si="0"/>
        <v>0</v>
      </c>
      <c r="AN79" s="75">
        <f t="shared" si="41"/>
        <v>0</v>
      </c>
    </row>
    <row r="80" spans="1:40" ht="60">
      <c r="A80" t="str">
        <f>CHOOSE(1+LOG(1+2*(ORÇAMENTO.Nivel="Meta")+4*(ORÇAMENTO.Nivel="Nível 2")+8*(ORÇAMENTO.Nivel="Nível 3")+16*(ORÇAMENTO.Nivel="Nível 4")+32*(ORÇAMENTO.Nivel="Serviço"),2),0,1,2,3,4,"S")</f>
        <v>S</v>
      </c>
      <c r="B80">
        <f ca="1">IF(OR(C80="s",C80=0),OFFSET(B80,-1,0),C80)</f>
        <v>2</v>
      </c>
      <c r="C80" t="str">
        <f ca="1">IF(OFFSET(C80,-1,0)="L",1,IF(OFFSET(C80,-1,0)=1,2,IF(OR(A80="s",A80=0),"S",IF(AND(OFFSET(C80,-1,0)=2,A80=4),3,IF(AND(OR(OFFSET(C80,-1,0)="s",OFFSET(C80,-1,0)=0),A80&lt;&gt;"s",A80&gt;OFFSET(B80,-1,0)),OFFSET(B80,-1,0),A80)))))</f>
        <v>S</v>
      </c>
      <c r="D80">
        <f>IF(OR(C80="S",C80=0),0,IF(ISERROR(K80),J80,SMALL(J80:K80,1)))</f>
        <v>0</v>
      </c>
      <c r="E80" t="e">
        <f ca="1">IF($C80=1,OFFSET(E80,-1,0)+MAX(1,COUNTIF('[1]QCI'!$A$13:$A$24,OFFSET('[1]ORÇAMENTO'!E78,-1,0))),OFFSET(E80,-1,0))</f>
        <v>#VALUE!</v>
      </c>
      <c r="F80">
        <f ca="1">IF($C80=1,0,IF($C80=2,OFFSET(F80,-1,0)+1,OFFSET(F80,-1,0)))</f>
        <v>2</v>
      </c>
      <c r="G80">
        <f ca="1">IF(AND($C80&lt;=2,$C80&lt;&gt;0),0,IF($C80=3,OFFSET(G80,-1,0)+1,OFFSET(G80,-1,0)))</f>
        <v>0</v>
      </c>
      <c r="H80">
        <f ca="1">IF(AND($C80&lt;=3,$C80&lt;&gt;0),0,IF($C80=4,OFFSET(H80,-1,0)+1,OFFSET(H80,-1,0)))</f>
        <v>0</v>
      </c>
      <c r="I80">
        <f ca="1">IF(AND($C80&lt;=4,$C80&lt;&gt;0),0,IF(AND($C80="S",$X80&gt;0),OFFSET(I80,-1,0)+1,OFFSET(I80,-1,0)))</f>
        <v>0</v>
      </c>
      <c r="J80">
        <f ca="1" t="shared" si="33"/>
        <v>0</v>
      </c>
      <c r="K80">
        <f ca="1">IF(OR($C80="S",$C80=0),0,MATCH(OFFSET($D80,0,$C80)+IF($C80&lt;&gt;1,1,COUNTIF('[1]QCI'!$A$13:$A$24,'[1]ORÇAMENTO'!E78)),OFFSET($D80,1,$C80,ROW($C$223)-ROW($C80)),0))</f>
        <v>0</v>
      </c>
      <c r="L80" s="53">
        <f>IF(OR($X80&gt;0,$C80=1,$C80=2,$C80=3,$C80=4),"F","")</f>
      </c>
      <c r="M80" s="54" t="s">
        <v>7</v>
      </c>
      <c r="N80" s="55" t="str">
        <f>CHOOSE(1+LOG(1+2*(C80=1)+4*(C80=2)+8*(C80=3)+16*(C80=4)+32*(C80="S"),2),"","Meta","Nível 2","Nível 3","Nível 4","Serviço")</f>
        <v>Serviço</v>
      </c>
      <c r="O80" s="56" t="s">
        <v>303</v>
      </c>
      <c r="P80" s="57" t="s">
        <v>62</v>
      </c>
      <c r="Q80" s="58" t="s">
        <v>151</v>
      </c>
      <c r="R80" s="59" t="s">
        <v>154</v>
      </c>
      <c r="S80" s="60" t="s">
        <v>141</v>
      </c>
      <c r="T80" s="61">
        <f>AJ80</f>
        <v>25.21</v>
      </c>
      <c r="U80" s="62"/>
      <c r="V80" s="63" t="s">
        <v>10</v>
      </c>
      <c r="W80" s="61">
        <f>IF($C80="S",ROUND(IF(TIPOORCAMENTO="Proposto",ORÇAMENTO.CustoUnitario*(1+$AH80),ORÇAMENTO.PrecoUnitarioLicitado),15-13*$AF$10),0)</f>
        <v>0</v>
      </c>
      <c r="X80" s="64">
        <f>IF($C80="S",VTOTAL1,IF($C80=0,0,ROUND(SomaAgrup,15-13*$AF$11)))</f>
        <v>0</v>
      </c>
      <c r="Y80" s="65" t="s">
        <v>63</v>
      </c>
      <c r="Z80">
        <f>IF(AND($C80="S",$X80&gt;0),IF(ISBLANK($Y80),"RA",LEFT($Y80,2)),"")</f>
      </c>
      <c r="AA80" s="66">
        <f>IF($C80="S",IF($Z80="CP",$X80,IF($Z80="RA",(($X80)*'[1]QCI'!$AA$3),0)),SomaAgrup)</f>
        <v>0</v>
      </c>
      <c r="AB80" s="67">
        <f>IF($C80="S",IF($Z80="OU",ROUND($X80,2),0),SomaAgrup)</f>
        <v>0</v>
      </c>
      <c r="AC80" s="68">
        <f>IF($N80="","",IF(ORÇAMENTO.Descricao="","DESCRIÇÃO",IF(AND($C80="S",ORÇAMENTO.Unidade=""),"UNIDADE",IF($X80&lt;0,"VALOR NEGATIVO",IF(OR(AND(TIPOORCAMENTO="Proposto",$AG80&lt;&gt;"",$AG80&gt;0,ORÇAMENTO.CustoUnitario&gt;$AG80),AND(TIPOORCAMENTO="LICITADO",ORÇAMENTO.PrecoUnitarioLicitado&gt;$AN80)),"ACIMA REF.","")))))</f>
      </c>
      <c r="AD80" s="8">
        <f ca="1">IF(C80&lt;=CRONO.NivelExibicao,MAX($AD$15:OFFSET(AD80,-1,0))+IF($C80&lt;&gt;1,1,MAX(1,COUNTIF('[1]QCI'!$A$13:$A$24,OFFSET($E80,-1,0)))),"")</f>
      </c>
      <c r="AE80" s="18" t="str">
        <f>IF(AND($C80="S",ORÇAMENTO.CodBarra&lt;&gt;""),IF(ORÇAMENTO.Fonte="",ORÇAMENTO.CodBarra,CONCATENATE(ORÇAMENTO.Fonte," ",ORÇAMENTO.CodBarra)))</f>
        <v>SINAPI  92580 </v>
      </c>
      <c r="AF80" s="69" t="e">
        <f ca="1">IF(ISERROR(INDIRECT(ORÇAMENTO.BancoRef)),"(abra o arquivo 'Referência "&amp;Excel_BuiltIn_Database&amp;".xls)",IF(OR($C80&lt;&gt;"S",ORÇAMENTO.CodBarra=""),"(Sem Código)",IF(ISERROR(MATCH($AE80,INDIRECT(ORÇAMENTO.BancoRef),0)),"(Código não identificado nas referências)",MATCH($AE80,INDIRECT(ORÇAMENTO.BancoRef),0))))</f>
        <v>#VALUE!</v>
      </c>
      <c r="AG80" s="70">
        <v>51.67</v>
      </c>
      <c r="AH80" s="71">
        <f>ROUND(IF(ISNUMBER(ORÇAMENTO.OpcaoBDI),ORÇAMENTO.OpcaoBDI,IF(LEFT(ORÇAMENTO.OpcaoBDI,3)="BDI",HLOOKUP(ORÇAMENTO.OpcaoBDI,$F$4:$H$5,2,FALSE),0)),15-11*$AF$9)</f>
        <v>0.2282</v>
      </c>
      <c r="AJ80" s="72">
        <v>25.21</v>
      </c>
      <c r="AL80" s="73"/>
      <c r="AM80" s="74">
        <f t="shared" si="0"/>
        <v>0</v>
      </c>
      <c r="AN80" s="75">
        <f>ROUND(ORÇAMENTO.CustoUnitario*(1+$AH80),2)</f>
        <v>0</v>
      </c>
    </row>
    <row r="81" spans="1:40" ht="60">
      <c r="A81" t="str">
        <f t="shared" si="34"/>
        <v>S</v>
      </c>
      <c r="B81">
        <f ca="1" t="shared" si="2"/>
        <v>2</v>
      </c>
      <c r="C81" t="str">
        <f ca="1" t="shared" si="3"/>
        <v>S</v>
      </c>
      <c r="D81">
        <f t="shared" si="4"/>
        <v>0</v>
      </c>
      <c r="E81" t="e">
        <f ca="1">IF($C81=1,OFFSET(E81,-1,0)+MAX(1,COUNTIF('[1]QCI'!$A$13:$A$24,OFFSET('[1]ORÇAMENTO'!E79,-1,0))),OFFSET(E81,-1,0))</f>
        <v>#VALUE!</v>
      </c>
      <c r="F81">
        <f ca="1" t="shared" si="5"/>
        <v>2</v>
      </c>
      <c r="G81">
        <f ca="1" t="shared" si="6"/>
        <v>0</v>
      </c>
      <c r="H81">
        <f ca="1" t="shared" si="7"/>
        <v>0</v>
      </c>
      <c r="I81">
        <f ca="1" t="shared" si="8"/>
        <v>0</v>
      </c>
      <c r="J81">
        <f ca="1" t="shared" si="33"/>
        <v>0</v>
      </c>
      <c r="K81">
        <f ca="1">IF(OR($C81="S",$C81=0),0,MATCH(OFFSET($D81,0,$C81)+IF($C81&lt;&gt;1,1,COUNTIF('[1]QCI'!$A$13:$A$24,'[1]ORÇAMENTO'!E79)),OFFSET($D81,1,$C81,ROW($C$223)-ROW($C81)),0))</f>
        <v>0</v>
      </c>
      <c r="L81" s="53">
        <f t="shared" si="10"/>
      </c>
      <c r="M81" s="54" t="s">
        <v>7</v>
      </c>
      <c r="N81" s="55" t="str">
        <f t="shared" si="11"/>
        <v>Serviço</v>
      </c>
      <c r="O81" s="56" t="s">
        <v>304</v>
      </c>
      <c r="P81" s="57" t="s">
        <v>62</v>
      </c>
      <c r="Q81" s="58" t="s">
        <v>152</v>
      </c>
      <c r="R81" s="59" t="s">
        <v>155</v>
      </c>
      <c r="S81" s="60" t="s">
        <v>141</v>
      </c>
      <c r="T81" s="61">
        <f>AJ81</f>
        <v>25.21</v>
      </c>
      <c r="U81" s="62"/>
      <c r="V81" s="63" t="s">
        <v>10</v>
      </c>
      <c r="W81" s="61">
        <f t="shared" si="35"/>
        <v>0</v>
      </c>
      <c r="X81" s="64">
        <f>IF($C81="S",VTOTAL1,IF($C81=0,0,ROUND(SomaAgrup,15-13*$AF$11)))</f>
        <v>0</v>
      </c>
      <c r="Y81" s="65" t="s">
        <v>63</v>
      </c>
      <c r="Z81">
        <f t="shared" si="13"/>
      </c>
      <c r="AA81" s="66">
        <f>IF($C81="S",IF($Z81="CP",$X81,IF($Z81="RA",(($X81)*'[1]QCI'!$AA$3),0)),SomaAgrup)</f>
        <v>0</v>
      </c>
      <c r="AB81" s="67">
        <f t="shared" si="36"/>
        <v>0</v>
      </c>
      <c r="AC81" s="68">
        <f t="shared" si="37"/>
      </c>
      <c r="AD81" s="8">
        <f ca="1">IF(C81&lt;=CRONO.NivelExibicao,MAX($AD$15:OFFSET(AD81,-1,0))+IF($C81&lt;&gt;1,1,MAX(1,COUNTIF('[1]QCI'!$A$13:$A$24,OFFSET($E81,-1,0)))),"")</f>
      </c>
      <c r="AE81" s="18" t="str">
        <f t="shared" si="38"/>
        <v>SINAPI  94207 </v>
      </c>
      <c r="AF81" s="69" t="e">
        <f ca="1" t="shared" si="39"/>
        <v>#VALUE!</v>
      </c>
      <c r="AG81" s="70">
        <v>56.18</v>
      </c>
      <c r="AH81" s="71">
        <f t="shared" si="40"/>
        <v>0.2282</v>
      </c>
      <c r="AJ81" s="72">
        <v>25.21</v>
      </c>
      <c r="AL81" s="73"/>
      <c r="AM81" s="74">
        <f t="shared" si="0"/>
        <v>0</v>
      </c>
      <c r="AN81" s="75">
        <f t="shared" si="41"/>
        <v>0</v>
      </c>
    </row>
    <row r="82" spans="1:40" ht="15">
      <c r="A82">
        <f t="shared" si="34"/>
        <v>2</v>
      </c>
      <c r="B82">
        <f ca="1" t="shared" si="2"/>
        <v>2</v>
      </c>
      <c r="C82">
        <f ca="1" t="shared" si="3"/>
        <v>2</v>
      </c>
      <c r="D82">
        <f t="shared" si="4"/>
        <v>4</v>
      </c>
      <c r="E82" t="e">
        <f ca="1">IF($C82=1,OFFSET(E82,-1,0)+MAX(1,COUNTIF('[1]QCI'!$A$13:$A$24,OFFSET('[1]ORÇAMENTO'!E80,-1,0))),OFFSET(E82,-1,0))</f>
        <v>#VALUE!</v>
      </c>
      <c r="F82">
        <f ca="1" t="shared" si="5"/>
        <v>3</v>
      </c>
      <c r="G82">
        <f ca="1" t="shared" si="6"/>
        <v>0</v>
      </c>
      <c r="H82">
        <f ca="1" t="shared" si="7"/>
        <v>0</v>
      </c>
      <c r="I82">
        <f ca="1" t="shared" si="8"/>
        <v>0</v>
      </c>
      <c r="J82">
        <f ca="1" t="shared" si="33"/>
        <v>11</v>
      </c>
      <c r="K82">
        <f ca="1">IF(OR($C82="S",$C82=0),0,MATCH(OFFSET($D82,0,$C82)+IF($C82&lt;&gt;1,1,COUNTIF('[1]QCI'!$A$13:$A$24,'[1]ORÇAMENTO'!E80)),OFFSET($D82,1,$C82,ROW($C$223)-ROW($C82)),0))</f>
        <v>4</v>
      </c>
      <c r="L82" s="53" t="str">
        <f t="shared" si="10"/>
        <v>F</v>
      </c>
      <c r="M82" s="54" t="s">
        <v>4</v>
      </c>
      <c r="N82" s="55" t="str">
        <f t="shared" si="11"/>
        <v>Nível 2</v>
      </c>
      <c r="O82" s="56" t="s">
        <v>305</v>
      </c>
      <c r="P82" s="57" t="s">
        <v>62</v>
      </c>
      <c r="Q82" s="58"/>
      <c r="R82" s="59" t="s">
        <v>91</v>
      </c>
      <c r="S82" s="60" t="str">
        <f>REFERENCIA.Unidade</f>
        <v>-</v>
      </c>
      <c r="T82" s="61" t="e">
        <f ca="1">OFFSET('[1]CÁLCULO'!H$15,ROW($T82)-ROW(T$15),0)</f>
        <v>#VALUE!</v>
      </c>
      <c r="U82" s="62"/>
      <c r="V82" s="63" t="s">
        <v>10</v>
      </c>
      <c r="W82" s="61">
        <f t="shared" si="35"/>
        <v>0</v>
      </c>
      <c r="X82" s="64">
        <f>ROUND(SUM(X83:X85),2)</f>
        <v>0</v>
      </c>
      <c r="Y82" s="65" t="s">
        <v>63</v>
      </c>
      <c r="Z82">
        <f t="shared" si="13"/>
      </c>
      <c r="AA82" s="66">
        <f>IF($C82="S",IF($Z82="CP",$X82,IF($Z82="RA",(($X82)*'[1]QCI'!$AA$3),0)),SomaAgrup)</f>
        <v>0</v>
      </c>
      <c r="AB82" s="67">
        <f t="shared" si="36"/>
        <v>0</v>
      </c>
      <c r="AC82" s="68" t="e">
        <f t="shared" si="37"/>
        <v>#VALUE!</v>
      </c>
      <c r="AD82" s="8" t="e">
        <f ca="1">IF(C82&lt;=CRONO.NivelExibicao,MAX($AD$15:OFFSET(AD82,-1,0))+IF($C82&lt;&gt;1,1,MAX(1,COUNTIF('[1]QCI'!$A$13:$A$24,OFFSET($E82,-1,0)))),"")</f>
        <v>#VALUE!</v>
      </c>
      <c r="AE82" s="18" t="b">
        <f t="shared" si="38"/>
        <v>0</v>
      </c>
      <c r="AF82" s="69" t="e">
        <f ca="1" t="shared" si="39"/>
        <v>#VALUE!</v>
      </c>
      <c r="AG82" s="70" t="e">
        <f>ROUND(IF(DESONERACAO="sim",REFERENCIA.Desonerado,REFERENCIA.NaoDesonerado),2)</f>
        <v>#VALUE!</v>
      </c>
      <c r="AH82" s="71">
        <f t="shared" si="40"/>
        <v>0.2282</v>
      </c>
      <c r="AJ82" s="72"/>
      <c r="AL82" s="73"/>
      <c r="AM82" s="74">
        <f t="shared" si="0"/>
        <v>0</v>
      </c>
      <c r="AN82" s="75">
        <f t="shared" si="41"/>
        <v>0</v>
      </c>
    </row>
    <row r="83" spans="1:40" ht="15">
      <c r="A83" t="str">
        <f t="shared" si="34"/>
        <v>S</v>
      </c>
      <c r="B83">
        <f ca="1" t="shared" si="2"/>
        <v>2</v>
      </c>
      <c r="C83" t="str">
        <f ca="1" t="shared" si="3"/>
        <v>S</v>
      </c>
      <c r="D83">
        <f t="shared" si="4"/>
        <v>0</v>
      </c>
      <c r="E83" t="e">
        <f ca="1">IF($C83=1,OFFSET(E83,-1,0)+MAX(1,COUNTIF('[1]QCI'!$A$13:$A$24,OFFSET('[1]ORÇAMENTO'!E81,-1,0))),OFFSET(E83,-1,0))</f>
        <v>#VALUE!</v>
      </c>
      <c r="F83">
        <f ca="1" t="shared" si="5"/>
        <v>3</v>
      </c>
      <c r="G83">
        <f ca="1" t="shared" si="6"/>
        <v>0</v>
      </c>
      <c r="H83">
        <f ca="1" t="shared" si="7"/>
        <v>0</v>
      </c>
      <c r="I83">
        <f ca="1" t="shared" si="8"/>
        <v>0</v>
      </c>
      <c r="J83">
        <f aca="true" ca="1" t="shared" si="42" ref="J83:J146">IF(OR($C83="S",$C83=0),0,MATCH(0,OFFSET($D83,1,$C83,ROW($C$223)-ROW($C83)),0))</f>
        <v>0</v>
      </c>
      <c r="K83">
        <f ca="1">IF(OR($C83="S",$C83=0),0,MATCH(OFFSET($D83,0,$C83)+IF($C83&lt;&gt;1,1,COUNTIF('[1]QCI'!$A$13:$A$24,'[1]ORÇAMENTO'!E81)),OFFSET($D83,1,$C83,ROW($C$223)-ROW($C83)),0))</f>
        <v>0</v>
      </c>
      <c r="L83" s="53">
        <f t="shared" si="10"/>
      </c>
      <c r="M83" s="54" t="s">
        <v>7</v>
      </c>
      <c r="N83" s="55" t="str">
        <f t="shared" si="11"/>
        <v>Serviço</v>
      </c>
      <c r="O83" s="56" t="s">
        <v>306</v>
      </c>
      <c r="P83" s="57" t="s">
        <v>68</v>
      </c>
      <c r="Q83" s="58" t="s">
        <v>92</v>
      </c>
      <c r="R83" s="59" t="s">
        <v>161</v>
      </c>
      <c r="S83" s="60" t="str">
        <f>REFERENCIA.Unidade</f>
        <v>-</v>
      </c>
      <c r="T83" s="61">
        <f>AJ83</f>
        <v>6</v>
      </c>
      <c r="U83" s="62"/>
      <c r="V83" s="63" t="s">
        <v>10</v>
      </c>
      <c r="W83" s="61">
        <f t="shared" si="35"/>
        <v>0</v>
      </c>
      <c r="X83" s="64">
        <f>IF($C83="S",VTOTAL1,IF($C83=0,0,ROUND(SomaAgrup,15-13*$AF$11)))</f>
        <v>0</v>
      </c>
      <c r="Y83" s="65" t="s">
        <v>63</v>
      </c>
      <c r="Z83">
        <f t="shared" si="13"/>
      </c>
      <c r="AA83" s="66">
        <f>IF($C83="S",IF($Z83="CP",$X83,IF($Z83="RA",(($X83)*'[1]QCI'!$AA$3),0)),SomaAgrup)</f>
        <v>0</v>
      </c>
      <c r="AB83" s="67">
        <f t="shared" si="36"/>
        <v>0</v>
      </c>
      <c r="AC83" s="68">
        <f t="shared" si="37"/>
      </c>
      <c r="AD83" s="8">
        <f ca="1">IF(C83&lt;=CRONO.NivelExibicao,MAX($AD$15:OFFSET(AD83,-1,0))+IF($C83&lt;&gt;1,1,MAX(1,COUNTIF('[1]QCI'!$A$13:$A$24,OFFSET($E83,-1,0)))),"")</f>
      </c>
      <c r="AE83" s="18" t="str">
        <f t="shared" si="38"/>
        <v>Composição 004</v>
      </c>
      <c r="AF83" s="69" t="e">
        <f ca="1" t="shared" si="39"/>
        <v>#VALUE!</v>
      </c>
      <c r="AG83" s="70">
        <v>211.03</v>
      </c>
      <c r="AH83" s="71">
        <f t="shared" si="40"/>
        <v>0.2282</v>
      </c>
      <c r="AJ83" s="72">
        <v>6</v>
      </c>
      <c r="AL83" s="73"/>
      <c r="AM83" s="74">
        <f t="shared" si="0"/>
        <v>0</v>
      </c>
      <c r="AN83" s="75">
        <f t="shared" si="41"/>
        <v>0</v>
      </c>
    </row>
    <row r="84" spans="1:40" ht="15">
      <c r="A84" t="str">
        <f t="shared" si="34"/>
        <v>S</v>
      </c>
      <c r="B84">
        <f ca="1" t="shared" si="2"/>
        <v>2</v>
      </c>
      <c r="C84" t="str">
        <f ca="1" t="shared" si="3"/>
        <v>S</v>
      </c>
      <c r="D84">
        <f t="shared" si="4"/>
        <v>0</v>
      </c>
      <c r="E84" t="e">
        <f ca="1">IF($C84=1,OFFSET(E84,-1,0)+MAX(1,COUNTIF('[1]QCI'!$A$13:$A$24,OFFSET('[1]ORÇAMENTO'!E82,-1,0))),OFFSET(E84,-1,0))</f>
        <v>#VALUE!</v>
      </c>
      <c r="F84">
        <f ca="1" t="shared" si="5"/>
        <v>3</v>
      </c>
      <c r="G84">
        <f ca="1" t="shared" si="6"/>
        <v>0</v>
      </c>
      <c r="H84">
        <f ca="1" t="shared" si="7"/>
        <v>0</v>
      </c>
      <c r="I84">
        <f ca="1" t="shared" si="8"/>
        <v>0</v>
      </c>
      <c r="J84">
        <f ca="1" t="shared" si="42"/>
        <v>0</v>
      </c>
      <c r="K84">
        <f ca="1">IF(OR($C84="S",$C84=0),0,MATCH(OFFSET($D84,0,$C84)+IF($C84&lt;&gt;1,1,COUNTIF('[1]QCI'!$A$13:$A$24,'[1]ORÇAMENTO'!E82)),OFFSET($D84,1,$C84,ROW($C$223)-ROW($C84)),0))</f>
        <v>0</v>
      </c>
      <c r="L84" s="53">
        <f t="shared" si="10"/>
      </c>
      <c r="M84" s="54" t="s">
        <v>7</v>
      </c>
      <c r="N84" s="55" t="str">
        <f t="shared" si="11"/>
        <v>Serviço</v>
      </c>
      <c r="O84" s="56" t="s">
        <v>307</v>
      </c>
      <c r="P84" s="57" t="s">
        <v>62</v>
      </c>
      <c r="Q84" s="58" t="s">
        <v>156</v>
      </c>
      <c r="R84" s="59" t="s">
        <v>158</v>
      </c>
      <c r="S84" s="60" t="s">
        <v>159</v>
      </c>
      <c r="T84" s="61">
        <f>AJ84</f>
        <v>0.64</v>
      </c>
      <c r="U84" s="62"/>
      <c r="V84" s="63" t="s">
        <v>10</v>
      </c>
      <c r="W84" s="61">
        <f t="shared" si="35"/>
        <v>0</v>
      </c>
      <c r="X84" s="64">
        <f>IF($C84="S",VTOTAL1,IF($C84=0,0,ROUND(SomaAgrup,15-13*$AF$11)))</f>
        <v>0</v>
      </c>
      <c r="Y84" s="65" t="s">
        <v>63</v>
      </c>
      <c r="Z84">
        <f t="shared" si="13"/>
      </c>
      <c r="AA84" s="66">
        <f>IF($C84="S",IF($Z84="CP",$X84,IF($Z84="RA",(($X84)*'[1]QCI'!$AA$3),0)),SomaAgrup)</f>
        <v>0</v>
      </c>
      <c r="AB84" s="67">
        <f t="shared" si="36"/>
        <v>0</v>
      </c>
      <c r="AC84" s="68">
        <f t="shared" si="37"/>
      </c>
      <c r="AD84" s="8">
        <f ca="1">IF(C84&lt;=CRONO.NivelExibicao,MAX($AD$15:OFFSET(AD84,-1,0))+IF($C84&lt;&gt;1,1,MAX(1,COUNTIF('[1]QCI'!$A$13:$A$24,OFFSET($E84,-1,0)))),"")</f>
      </c>
      <c r="AE84" s="18" t="str">
        <f t="shared" si="38"/>
        <v>SINAPI  96995 </v>
      </c>
      <c r="AF84" s="69" t="e">
        <f ca="1" t="shared" si="39"/>
        <v>#VALUE!</v>
      </c>
      <c r="AG84" s="70">
        <v>43.07</v>
      </c>
      <c r="AH84" s="71">
        <f t="shared" si="40"/>
        <v>0.2282</v>
      </c>
      <c r="AJ84" s="72">
        <v>0.64</v>
      </c>
      <c r="AL84" s="73"/>
      <c r="AM84" s="74">
        <f t="shared" si="0"/>
        <v>0</v>
      </c>
      <c r="AN84" s="75">
        <f t="shared" si="41"/>
        <v>0</v>
      </c>
    </row>
    <row r="85" spans="1:40" ht="45">
      <c r="A85" t="str">
        <f t="shared" si="34"/>
        <v>S</v>
      </c>
      <c r="B85">
        <f ca="1" t="shared" si="2"/>
        <v>2</v>
      </c>
      <c r="C85" t="str">
        <f ca="1" t="shared" si="3"/>
        <v>S</v>
      </c>
      <c r="D85">
        <f t="shared" si="4"/>
        <v>0</v>
      </c>
      <c r="E85" t="e">
        <f ca="1">IF($C85=1,OFFSET(E85,-1,0)+MAX(1,COUNTIF('[1]QCI'!$A$13:$A$24,OFFSET('[1]ORÇAMENTO'!E83,-1,0))),OFFSET(E85,-1,0))</f>
        <v>#VALUE!</v>
      </c>
      <c r="F85">
        <f ca="1" t="shared" si="5"/>
        <v>3</v>
      </c>
      <c r="G85">
        <f ca="1" t="shared" si="6"/>
        <v>0</v>
      </c>
      <c r="H85">
        <f ca="1" t="shared" si="7"/>
        <v>0</v>
      </c>
      <c r="I85">
        <f ca="1" t="shared" si="8"/>
        <v>0</v>
      </c>
      <c r="J85">
        <f ca="1" t="shared" si="42"/>
        <v>0</v>
      </c>
      <c r="K85">
        <f ca="1">IF(OR($C85="S",$C85=0),0,MATCH(OFFSET($D85,0,$C85)+IF($C85&lt;&gt;1,1,COUNTIF('[1]QCI'!$A$13:$A$24,'[1]ORÇAMENTO'!E83)),OFFSET($D85,1,$C85,ROW($C$223)-ROW($C85)),0))</f>
        <v>0</v>
      </c>
      <c r="L85" s="53">
        <f t="shared" si="10"/>
      </c>
      <c r="M85" s="54" t="s">
        <v>7</v>
      </c>
      <c r="N85" s="55" t="str">
        <f t="shared" si="11"/>
        <v>Serviço</v>
      </c>
      <c r="O85" s="56" t="s">
        <v>308</v>
      </c>
      <c r="P85" s="57" t="s">
        <v>62</v>
      </c>
      <c r="Q85" s="58" t="s">
        <v>157</v>
      </c>
      <c r="R85" s="59" t="s">
        <v>160</v>
      </c>
      <c r="S85" s="60" t="s">
        <v>159</v>
      </c>
      <c r="T85" s="61">
        <f>AJ85</f>
        <v>0.12</v>
      </c>
      <c r="U85" s="62"/>
      <c r="V85" s="63" t="s">
        <v>10</v>
      </c>
      <c r="W85" s="61">
        <f t="shared" si="35"/>
        <v>0</v>
      </c>
      <c r="X85" s="64">
        <f>IF($C85="S",VTOTAL1,IF($C85=0,0,ROUND(SomaAgrup,15-13*$AF$11)))</f>
        <v>0</v>
      </c>
      <c r="Y85" s="65" t="s">
        <v>63</v>
      </c>
      <c r="Z85">
        <f t="shared" si="13"/>
      </c>
      <c r="AA85" s="66">
        <f>IF($C85="S",IF($Z85="CP",$X85,IF($Z85="RA",(($X85)*'[1]QCI'!$AA$3),0)),SomaAgrup)</f>
        <v>0</v>
      </c>
      <c r="AB85" s="67">
        <f t="shared" si="36"/>
        <v>0</v>
      </c>
      <c r="AC85" s="68">
        <f t="shared" si="37"/>
      </c>
      <c r="AD85" s="8">
        <f ca="1">IF(C85&lt;=CRONO.NivelExibicao,MAX($AD$15:OFFSET(AD85,-1,0))+IF($C85&lt;&gt;1,1,MAX(1,COUNTIF('[1]QCI'!$A$13:$A$24,OFFSET($E85,-1,0)))),"")</f>
      </c>
      <c r="AE85" s="18" t="str">
        <f t="shared" si="38"/>
        <v>SINAPI  94990 </v>
      </c>
      <c r="AF85" s="69" t="e">
        <f ca="1" t="shared" si="39"/>
        <v>#VALUE!</v>
      </c>
      <c r="AG85" s="70">
        <v>754.41</v>
      </c>
      <c r="AH85" s="71">
        <f t="shared" si="40"/>
        <v>0.2282</v>
      </c>
      <c r="AJ85" s="72">
        <v>0.12</v>
      </c>
      <c r="AL85" s="73"/>
      <c r="AM85" s="74">
        <f t="shared" si="0"/>
        <v>0</v>
      </c>
      <c r="AN85" s="75">
        <f t="shared" si="41"/>
        <v>0</v>
      </c>
    </row>
    <row r="86" spans="1:40" ht="15">
      <c r="A86">
        <f t="shared" si="34"/>
        <v>2</v>
      </c>
      <c r="B86">
        <f ca="1" t="shared" si="2"/>
        <v>2</v>
      </c>
      <c r="C86">
        <f ca="1" t="shared" si="3"/>
        <v>2</v>
      </c>
      <c r="D86">
        <f t="shared" si="4"/>
        <v>7</v>
      </c>
      <c r="E86" t="e">
        <f ca="1">IF($C86=1,OFFSET(E86,-1,0)+MAX(1,COUNTIF('[1]QCI'!$A$13:$A$24,OFFSET('[1]ORÇAMENTO'!E84,-1,0))),OFFSET(E86,-1,0))</f>
        <v>#VALUE!</v>
      </c>
      <c r="F86">
        <f ca="1" t="shared" si="5"/>
        <v>4</v>
      </c>
      <c r="G86">
        <f ca="1" t="shared" si="6"/>
        <v>0</v>
      </c>
      <c r="H86">
        <f ca="1" t="shared" si="7"/>
        <v>0</v>
      </c>
      <c r="I86">
        <f ca="1" t="shared" si="8"/>
        <v>0</v>
      </c>
      <c r="J86">
        <f ca="1" t="shared" si="42"/>
        <v>7</v>
      </c>
      <c r="K86" t="e">
        <f ca="1">IF(OR($C86="S",$C86=0),0,MATCH(OFFSET($D86,0,$C86)+IF($C86&lt;&gt;1,1,COUNTIF('[1]QCI'!$A$13:$A$24,'[1]ORÇAMENTO'!E84)),OFFSET($D86,1,$C86,ROW($C$223)-ROW($C86)),0))</f>
        <v>#N/A</v>
      </c>
      <c r="L86" s="53" t="str">
        <f t="shared" si="10"/>
        <v>F</v>
      </c>
      <c r="M86" s="54" t="s">
        <v>4</v>
      </c>
      <c r="N86" s="55" t="str">
        <f t="shared" si="11"/>
        <v>Nível 2</v>
      </c>
      <c r="O86" s="56" t="s">
        <v>309</v>
      </c>
      <c r="P86" s="57" t="s">
        <v>62</v>
      </c>
      <c r="Q86" s="58"/>
      <c r="R86" s="59" t="s">
        <v>279</v>
      </c>
      <c r="S86" s="60" t="str">
        <f>REFERENCIA.Unidade</f>
        <v>-</v>
      </c>
      <c r="T86" s="61" t="e">
        <f ca="1">OFFSET('[1]CÁLCULO'!H$15,ROW($T86)-ROW(T$15),0)</f>
        <v>#VALUE!</v>
      </c>
      <c r="U86" s="62"/>
      <c r="V86" s="63" t="s">
        <v>10</v>
      </c>
      <c r="W86" s="61">
        <f t="shared" si="35"/>
        <v>0</v>
      </c>
      <c r="X86" s="64">
        <f>ROUND(SUM(X87:X92),2)</f>
        <v>0</v>
      </c>
      <c r="Y86" s="65" t="s">
        <v>63</v>
      </c>
      <c r="Z86">
        <f t="shared" si="13"/>
      </c>
      <c r="AA86" s="66">
        <f>IF($C86="S",IF($Z86="CP",$X86,IF($Z86="RA",(($X86)*'[1]QCI'!$AA$3),0)),SomaAgrup)</f>
        <v>0</v>
      </c>
      <c r="AB86" s="67">
        <f t="shared" si="36"/>
        <v>0</v>
      </c>
      <c r="AC86" s="68" t="e">
        <f t="shared" si="37"/>
        <v>#VALUE!</v>
      </c>
      <c r="AD86" s="8" t="e">
        <f ca="1">IF(C86&lt;=CRONO.NivelExibicao,MAX($AD$15:OFFSET(AD86,-1,0))+IF($C86&lt;&gt;1,1,MAX(1,COUNTIF('[1]QCI'!$A$13:$A$24,OFFSET($E86,-1,0)))),"")</f>
        <v>#VALUE!</v>
      </c>
      <c r="AE86" s="18" t="b">
        <f t="shared" si="38"/>
        <v>0</v>
      </c>
      <c r="AF86" s="69" t="e">
        <f ca="1" t="shared" si="39"/>
        <v>#VALUE!</v>
      </c>
      <c r="AG86" s="70" t="e">
        <f>ROUND(IF(DESONERACAO="sim",REFERENCIA.Desonerado,REFERENCIA.NaoDesonerado),2)</f>
        <v>#VALUE!</v>
      </c>
      <c r="AH86" s="71">
        <f t="shared" si="40"/>
        <v>0.2282</v>
      </c>
      <c r="AJ86" s="72"/>
      <c r="AL86" s="73"/>
      <c r="AM86" s="74">
        <f t="shared" si="0"/>
        <v>0</v>
      </c>
      <c r="AN86" s="75">
        <f t="shared" si="41"/>
        <v>0</v>
      </c>
    </row>
    <row r="87" spans="1:40" ht="45">
      <c r="A87" t="str">
        <f t="shared" si="34"/>
        <v>S</v>
      </c>
      <c r="B87">
        <f ca="1" t="shared" si="2"/>
        <v>2</v>
      </c>
      <c r="C87" t="str">
        <f ca="1" t="shared" si="3"/>
        <v>S</v>
      </c>
      <c r="D87">
        <f t="shared" si="4"/>
        <v>0</v>
      </c>
      <c r="E87" t="e">
        <f ca="1">IF($C87=1,OFFSET(E87,-1,0)+MAX(1,COUNTIF('[1]QCI'!$A$13:$A$24,OFFSET('[1]ORÇAMENTO'!E85,-1,0))),OFFSET(E87,-1,0))</f>
        <v>#VALUE!</v>
      </c>
      <c r="F87">
        <f ca="1" t="shared" si="5"/>
        <v>4</v>
      </c>
      <c r="G87">
        <f ca="1" t="shared" si="6"/>
        <v>0</v>
      </c>
      <c r="H87">
        <f ca="1" t="shared" si="7"/>
        <v>0</v>
      </c>
      <c r="I87">
        <f ca="1" t="shared" si="8"/>
        <v>0</v>
      </c>
      <c r="J87">
        <f ca="1" t="shared" si="42"/>
        <v>0</v>
      </c>
      <c r="K87">
        <f ca="1">IF(OR($C87="S",$C87=0),0,MATCH(OFFSET($D87,0,$C87)+IF($C87&lt;&gt;1,1,COUNTIF('[1]QCI'!$A$13:$A$24,'[1]ORÇAMENTO'!E85)),OFFSET($D87,1,$C87,ROW($C$223)-ROW($C87)),0))</f>
        <v>0</v>
      </c>
      <c r="L87" s="53">
        <f t="shared" si="10"/>
      </c>
      <c r="M87" s="54" t="s">
        <v>7</v>
      </c>
      <c r="N87" s="55" t="str">
        <f t="shared" si="11"/>
        <v>Serviço</v>
      </c>
      <c r="O87" s="56" t="s">
        <v>310</v>
      </c>
      <c r="P87" s="57" t="s">
        <v>62</v>
      </c>
      <c r="Q87" s="58" t="s">
        <v>162</v>
      </c>
      <c r="R87" s="59" t="s">
        <v>168</v>
      </c>
      <c r="S87" s="60" t="s">
        <v>142</v>
      </c>
      <c r="T87" s="61">
        <f aca="true" t="shared" si="43" ref="T87:T92">AJ87</f>
        <v>1</v>
      </c>
      <c r="U87" s="62"/>
      <c r="V87" s="63" t="s">
        <v>10</v>
      </c>
      <c r="W87" s="61">
        <f t="shared" si="35"/>
        <v>0</v>
      </c>
      <c r="X87" s="64">
        <f>IF($C87="S",VTOTAL1,IF($C87=0,0,ROUND(SomaAgrup,15-13*$AF$11)))</f>
        <v>0</v>
      </c>
      <c r="Y87" s="65" t="s">
        <v>63</v>
      </c>
      <c r="Z87">
        <f t="shared" si="13"/>
      </c>
      <c r="AA87" s="66">
        <f>IF($C87="S",IF($Z87="CP",$X87,IF($Z87="RA",(($X87)*'[1]QCI'!$AA$3),0)),SomaAgrup)</f>
        <v>0</v>
      </c>
      <c r="AB87" s="67">
        <f t="shared" si="36"/>
        <v>0</v>
      </c>
      <c r="AC87" s="68">
        <f t="shared" si="37"/>
      </c>
      <c r="AD87" s="8">
        <f ca="1">IF(C87&lt;=CRONO.NivelExibicao,MAX($AD$15:OFFSET(AD87,-1,0))+IF($C87&lt;&gt;1,1,MAX(1,COUNTIF('[1]QCI'!$A$13:$A$24,OFFSET($E87,-1,0)))),"")</f>
      </c>
      <c r="AE87" s="18" t="str">
        <f t="shared" si="38"/>
        <v>SINAPI  101876 </v>
      </c>
      <c r="AF87" s="69" t="e">
        <f ca="1" t="shared" si="39"/>
        <v>#VALUE!</v>
      </c>
      <c r="AG87" s="70">
        <v>74.82</v>
      </c>
      <c r="AH87" s="71">
        <f t="shared" si="40"/>
        <v>0.2282</v>
      </c>
      <c r="AJ87" s="72">
        <v>1</v>
      </c>
      <c r="AL87" s="73"/>
      <c r="AM87" s="74">
        <f t="shared" si="0"/>
        <v>0</v>
      </c>
      <c r="AN87" s="75">
        <f t="shared" si="41"/>
        <v>0</v>
      </c>
    </row>
    <row r="88" spans="1:40" ht="30">
      <c r="A88" t="str">
        <f t="shared" si="34"/>
        <v>S</v>
      </c>
      <c r="B88">
        <f ca="1" t="shared" si="2"/>
        <v>2</v>
      </c>
      <c r="C88" t="str">
        <f ca="1" t="shared" si="3"/>
        <v>S</v>
      </c>
      <c r="D88">
        <f t="shared" si="4"/>
        <v>0</v>
      </c>
      <c r="E88" t="e">
        <f ca="1">IF($C88=1,OFFSET(E88,-1,0)+MAX(1,COUNTIF('[1]QCI'!$A$13:$A$24,OFFSET('[1]ORÇAMENTO'!E86,-1,0))),OFFSET(E88,-1,0))</f>
        <v>#VALUE!</v>
      </c>
      <c r="F88">
        <f ca="1" t="shared" si="5"/>
        <v>4</v>
      </c>
      <c r="G88">
        <f ca="1" t="shared" si="6"/>
        <v>0</v>
      </c>
      <c r="H88">
        <f ca="1" t="shared" si="7"/>
        <v>0</v>
      </c>
      <c r="I88">
        <f ca="1" t="shared" si="8"/>
        <v>0</v>
      </c>
      <c r="J88">
        <f ca="1" t="shared" si="42"/>
        <v>0</v>
      </c>
      <c r="K88">
        <f ca="1">IF(OR($C88="S",$C88=0),0,MATCH(OFFSET($D88,0,$C88)+IF($C88&lt;&gt;1,1,COUNTIF('[1]QCI'!$A$13:$A$24,'[1]ORÇAMENTO'!E86)),OFFSET($D88,1,$C88,ROW($C$223)-ROW($C88)),0))</f>
        <v>0</v>
      </c>
      <c r="L88" s="53">
        <f t="shared" si="10"/>
      </c>
      <c r="M88" s="54" t="s">
        <v>7</v>
      </c>
      <c r="N88" s="55" t="str">
        <f t="shared" si="11"/>
        <v>Serviço</v>
      </c>
      <c r="O88" s="56" t="s">
        <v>311</v>
      </c>
      <c r="P88" s="57" t="s">
        <v>62</v>
      </c>
      <c r="Q88" s="58" t="s">
        <v>163</v>
      </c>
      <c r="R88" s="59" t="s">
        <v>169</v>
      </c>
      <c r="S88" s="60" t="s">
        <v>142</v>
      </c>
      <c r="T88" s="61">
        <f t="shared" si="43"/>
        <v>1</v>
      </c>
      <c r="U88" s="62"/>
      <c r="V88" s="63" t="s">
        <v>10</v>
      </c>
      <c r="W88" s="61">
        <f t="shared" si="35"/>
        <v>0</v>
      </c>
      <c r="X88" s="64">
        <f>IF($C88="S",VTOTAL1,IF($C88=0,0,ROUND(SomaAgrup,15-13*$AF$11)))</f>
        <v>0</v>
      </c>
      <c r="Y88" s="65" t="s">
        <v>63</v>
      </c>
      <c r="Z88">
        <f t="shared" si="13"/>
      </c>
      <c r="AA88" s="66">
        <f>IF($C88="S",IF($Z88="CP",$X88,IF($Z88="RA",(($X88)*'[1]QCI'!$AA$3),0)),SomaAgrup)</f>
        <v>0</v>
      </c>
      <c r="AB88" s="67">
        <f t="shared" si="36"/>
        <v>0</v>
      </c>
      <c r="AC88" s="68">
        <f t="shared" si="37"/>
      </c>
      <c r="AD88" s="8">
        <f ca="1">IF(C88&lt;=CRONO.NivelExibicao,MAX($AD$15:OFFSET(AD88,-1,0))+IF($C88&lt;&gt;1,1,MAX(1,COUNTIF('[1]QCI'!$A$13:$A$24,OFFSET($E88,-1,0)))),"")</f>
      </c>
      <c r="AE88" s="18" t="str">
        <f t="shared" si="38"/>
        <v>SINAPI  93665 </v>
      </c>
      <c r="AF88" s="69" t="e">
        <f ca="1" t="shared" si="39"/>
        <v>#VALUE!</v>
      </c>
      <c r="AG88" s="70">
        <v>71.01</v>
      </c>
      <c r="AH88" s="71">
        <f t="shared" si="40"/>
        <v>0.2282</v>
      </c>
      <c r="AJ88" s="72">
        <v>1</v>
      </c>
      <c r="AL88" s="73"/>
      <c r="AM88" s="74">
        <f t="shared" si="0"/>
        <v>0</v>
      </c>
      <c r="AN88" s="75">
        <f t="shared" si="41"/>
        <v>0</v>
      </c>
    </row>
    <row r="89" spans="1:40" ht="30">
      <c r="A89" t="str">
        <f t="shared" si="34"/>
        <v>S</v>
      </c>
      <c r="B89">
        <f ca="1" t="shared" si="2"/>
        <v>2</v>
      </c>
      <c r="C89" t="str">
        <f ca="1" t="shared" si="3"/>
        <v>S</v>
      </c>
      <c r="D89">
        <f t="shared" si="4"/>
        <v>0</v>
      </c>
      <c r="E89" t="e">
        <f ca="1">IF($C89=1,OFFSET(E89,-1,0)+MAX(1,COUNTIF('[1]QCI'!$A$13:$A$24,OFFSET('[1]ORÇAMENTO'!E87,-1,0))),OFFSET(E89,-1,0))</f>
        <v>#VALUE!</v>
      </c>
      <c r="F89">
        <f ca="1" t="shared" si="5"/>
        <v>4</v>
      </c>
      <c r="G89">
        <f ca="1" t="shared" si="6"/>
        <v>0</v>
      </c>
      <c r="H89">
        <f ca="1" t="shared" si="7"/>
        <v>0</v>
      </c>
      <c r="I89">
        <f ca="1" t="shared" si="8"/>
        <v>0</v>
      </c>
      <c r="J89">
        <f ca="1" t="shared" si="42"/>
        <v>0</v>
      </c>
      <c r="K89">
        <f ca="1">IF(OR($C89="S",$C89=0),0,MATCH(OFFSET($D89,0,$C89)+IF($C89&lt;&gt;1,1,COUNTIF('[1]QCI'!$A$13:$A$24,'[1]ORÇAMENTO'!E87)),OFFSET($D89,1,$C89,ROW($C$223)-ROW($C89)),0))</f>
        <v>0</v>
      </c>
      <c r="L89" s="53">
        <f t="shared" si="10"/>
      </c>
      <c r="M89" s="54" t="s">
        <v>7</v>
      </c>
      <c r="N89" s="55" t="str">
        <f t="shared" si="11"/>
        <v>Serviço</v>
      </c>
      <c r="O89" s="56" t="s">
        <v>312</v>
      </c>
      <c r="P89" s="57" t="s">
        <v>62</v>
      </c>
      <c r="Q89" s="58" t="s">
        <v>164</v>
      </c>
      <c r="R89" s="59" t="s">
        <v>170</v>
      </c>
      <c r="S89" s="60" t="s">
        <v>142</v>
      </c>
      <c r="T89" s="61">
        <f t="shared" si="43"/>
        <v>1</v>
      </c>
      <c r="U89" s="62"/>
      <c r="V89" s="63" t="s">
        <v>10</v>
      </c>
      <c r="W89" s="61">
        <f t="shared" si="35"/>
        <v>0</v>
      </c>
      <c r="X89" s="64">
        <f>IF($C89="S",VTOTAL1,IF($C89=0,0,ROUND(SomaAgrup,15-13*$AF$11)))</f>
        <v>0</v>
      </c>
      <c r="Y89" s="65" t="s">
        <v>63</v>
      </c>
      <c r="Z89">
        <f t="shared" si="13"/>
      </c>
      <c r="AA89" s="66">
        <f>IF($C89="S",IF($Z89="CP",$X89,IF($Z89="RA",(($X89)*'[1]QCI'!$AA$3),0)),SomaAgrup)</f>
        <v>0</v>
      </c>
      <c r="AB89" s="67">
        <f t="shared" si="36"/>
        <v>0</v>
      </c>
      <c r="AC89" s="68">
        <f t="shared" si="37"/>
      </c>
      <c r="AD89" s="8">
        <f ca="1">IF(C89&lt;=CRONO.NivelExibicao,MAX($AD$15:OFFSET(AD89,-1,0))+IF($C89&lt;&gt;1,1,MAX(1,COUNTIF('[1]QCI'!$A$13:$A$24,OFFSET($E89,-1,0)))),"")</f>
      </c>
      <c r="AE89" s="18" t="str">
        <f t="shared" si="38"/>
        <v>SINAPI  93655 </v>
      </c>
      <c r="AF89" s="69" t="e">
        <f ca="1" t="shared" si="39"/>
        <v>#VALUE!</v>
      </c>
      <c r="AG89" s="70">
        <v>14.19</v>
      </c>
      <c r="AH89" s="71">
        <f t="shared" si="40"/>
        <v>0.2282</v>
      </c>
      <c r="AJ89" s="72">
        <v>1</v>
      </c>
      <c r="AL89" s="73"/>
      <c r="AM89" s="74">
        <f t="shared" si="0"/>
        <v>0</v>
      </c>
      <c r="AN89" s="75">
        <f t="shared" si="41"/>
        <v>0</v>
      </c>
    </row>
    <row r="90" spans="1:40" ht="60">
      <c r="A90" t="str">
        <f t="shared" si="34"/>
        <v>S</v>
      </c>
      <c r="B90">
        <f ca="1" t="shared" si="2"/>
        <v>2</v>
      </c>
      <c r="C90" t="str">
        <f ca="1" t="shared" si="3"/>
        <v>S</v>
      </c>
      <c r="D90">
        <f t="shared" si="4"/>
        <v>0</v>
      </c>
      <c r="E90" t="e">
        <f ca="1">IF($C90=1,OFFSET(E90,-1,0)+MAX(1,COUNTIF('[1]QCI'!$A$13:$A$24,OFFSET('[1]ORÇAMENTO'!E88,-1,0))),OFFSET(E90,-1,0))</f>
        <v>#VALUE!</v>
      </c>
      <c r="F90">
        <f ca="1" t="shared" si="5"/>
        <v>4</v>
      </c>
      <c r="G90">
        <f ca="1" t="shared" si="6"/>
        <v>0</v>
      </c>
      <c r="H90">
        <f ca="1" t="shared" si="7"/>
        <v>0</v>
      </c>
      <c r="I90">
        <f ca="1" t="shared" si="8"/>
        <v>0</v>
      </c>
      <c r="J90">
        <f ca="1" t="shared" si="42"/>
        <v>0</v>
      </c>
      <c r="K90">
        <f ca="1">IF(OR($C90="S",$C90=0),0,MATCH(OFFSET($D90,0,$C90)+IF($C90&lt;&gt;1,1,COUNTIF('[1]QCI'!$A$13:$A$24,'[1]ORÇAMENTO'!E88)),OFFSET($D90,1,$C90,ROW($C$223)-ROW($C90)),0))</f>
        <v>0</v>
      </c>
      <c r="L90" s="53">
        <f t="shared" si="10"/>
      </c>
      <c r="M90" s="54" t="s">
        <v>7</v>
      </c>
      <c r="N90" s="55" t="str">
        <f t="shared" si="11"/>
        <v>Serviço</v>
      </c>
      <c r="O90" s="56" t="s">
        <v>313</v>
      </c>
      <c r="P90" s="57" t="s">
        <v>62</v>
      </c>
      <c r="Q90" s="58" t="s">
        <v>165</v>
      </c>
      <c r="R90" s="59" t="s">
        <v>171</v>
      </c>
      <c r="S90" s="60" t="s">
        <v>142</v>
      </c>
      <c r="T90" s="61">
        <f t="shared" si="43"/>
        <v>1</v>
      </c>
      <c r="U90" s="62"/>
      <c r="V90" s="63" t="s">
        <v>10</v>
      </c>
      <c r="W90" s="61">
        <f t="shared" si="35"/>
        <v>0</v>
      </c>
      <c r="X90" s="64">
        <f>IF($C90="S",VTOTAL1,IF($C90=0,0,ROUND(SomaAgrup,15-13*$AF$11)))</f>
        <v>0</v>
      </c>
      <c r="Y90" s="65" t="s">
        <v>63</v>
      </c>
      <c r="Z90">
        <f t="shared" si="13"/>
      </c>
      <c r="AA90" s="66">
        <f>IF($C90="S",IF($Z90="CP",$X90,IF($Z90="RA",(($X90)*'[1]QCI'!$AA$3),0)),SomaAgrup)</f>
        <v>0</v>
      </c>
      <c r="AB90" s="67">
        <f t="shared" si="36"/>
        <v>0</v>
      </c>
      <c r="AC90" s="68">
        <f t="shared" si="37"/>
      </c>
      <c r="AD90" s="8">
        <f ca="1">IF(C90&lt;=CRONO.NivelExibicao,MAX($AD$15:OFFSET(AD90,-1,0))+IF($C90&lt;&gt;1,1,MAX(1,COUNTIF('[1]QCI'!$A$13:$A$24,OFFSET($E90,-1,0)))),"")</f>
      </c>
      <c r="AE90" s="18" t="str">
        <f t="shared" si="38"/>
        <v>SINAPI  93145 </v>
      </c>
      <c r="AF90" s="69" t="e">
        <f ca="1" t="shared" si="39"/>
        <v>#VALUE!</v>
      </c>
      <c r="AG90" s="70">
        <v>214.61</v>
      </c>
      <c r="AH90" s="71">
        <f t="shared" si="40"/>
        <v>0.2282</v>
      </c>
      <c r="AJ90" s="72">
        <v>1</v>
      </c>
      <c r="AL90" s="73"/>
      <c r="AM90" s="74">
        <f t="shared" si="0"/>
        <v>0</v>
      </c>
      <c r="AN90" s="75">
        <f t="shared" si="41"/>
        <v>0</v>
      </c>
    </row>
    <row r="91" spans="1:40" ht="30">
      <c r="A91" t="str">
        <f t="shared" si="34"/>
        <v>S</v>
      </c>
      <c r="B91">
        <f ca="1" t="shared" si="2"/>
        <v>2</v>
      </c>
      <c r="C91" t="str">
        <f ca="1" t="shared" si="3"/>
        <v>S</v>
      </c>
      <c r="D91">
        <f t="shared" si="4"/>
        <v>0</v>
      </c>
      <c r="E91" t="e">
        <f ca="1">IF($C91=1,OFFSET(E91,-1,0)+MAX(1,COUNTIF('[1]QCI'!$A$13:$A$24,OFFSET('[1]ORÇAMENTO'!E89,-1,0))),OFFSET(E91,-1,0))</f>
        <v>#VALUE!</v>
      </c>
      <c r="F91">
        <f ca="1" t="shared" si="5"/>
        <v>4</v>
      </c>
      <c r="G91">
        <f ca="1" t="shared" si="6"/>
        <v>0</v>
      </c>
      <c r="H91">
        <f ca="1" t="shared" si="7"/>
        <v>0</v>
      </c>
      <c r="I91">
        <f ca="1" t="shared" si="8"/>
        <v>0</v>
      </c>
      <c r="J91">
        <f ca="1" t="shared" si="42"/>
        <v>0</v>
      </c>
      <c r="K91">
        <f ca="1">IF(OR($C91="S",$C91=0),0,MATCH(OFFSET($D91,0,$C91)+IF($C91&lt;&gt;1,1,COUNTIF('[1]QCI'!$A$13:$A$24,'[1]ORÇAMENTO'!E89)),OFFSET($D91,1,$C91,ROW($C$223)-ROW($C91)),0))</f>
        <v>0</v>
      </c>
      <c r="L91" s="53">
        <f t="shared" si="10"/>
      </c>
      <c r="M91" s="54" t="s">
        <v>7</v>
      </c>
      <c r="N91" s="55" t="str">
        <f t="shared" si="11"/>
        <v>Serviço</v>
      </c>
      <c r="O91" s="56" t="s">
        <v>314</v>
      </c>
      <c r="P91" s="57" t="s">
        <v>62</v>
      </c>
      <c r="Q91" s="58" t="s">
        <v>166</v>
      </c>
      <c r="R91" s="59" t="s">
        <v>172</v>
      </c>
      <c r="S91" s="60" t="s">
        <v>142</v>
      </c>
      <c r="T91" s="61">
        <f t="shared" si="43"/>
        <v>1</v>
      </c>
      <c r="U91" s="62"/>
      <c r="V91" s="63" t="s">
        <v>10</v>
      </c>
      <c r="W91" s="61">
        <f t="shared" si="35"/>
        <v>0</v>
      </c>
      <c r="X91" s="64">
        <f>IF($C91="S",VTOTAL1,IF($C91=0,0,ROUND(SomaAgrup,15-13*$AF$11)))</f>
        <v>0</v>
      </c>
      <c r="Y91" s="65" t="s">
        <v>63</v>
      </c>
      <c r="Z91">
        <f t="shared" si="13"/>
      </c>
      <c r="AA91" s="66">
        <f>IF($C91="S",IF($Z91="CP",$X91,IF($Z91="RA",(($X91)*'[1]QCI'!$AA$3),0)),SomaAgrup)</f>
        <v>0</v>
      </c>
      <c r="AB91" s="67">
        <f t="shared" si="36"/>
        <v>0</v>
      </c>
      <c r="AC91" s="68">
        <f t="shared" si="37"/>
      </c>
      <c r="AD91" s="8">
        <f ca="1">IF(C91&lt;=CRONO.NivelExibicao,MAX($AD$15:OFFSET(AD91,-1,0))+IF($C91&lt;&gt;1,1,MAX(1,COUNTIF('[1]QCI'!$A$13:$A$24,OFFSET($E91,-1,0)))),"")</f>
      </c>
      <c r="AE91" s="18" t="str">
        <f t="shared" si="38"/>
        <v>SINAPI  103782 </v>
      </c>
      <c r="AF91" s="69" t="e">
        <f ca="1" t="shared" si="39"/>
        <v>#VALUE!</v>
      </c>
      <c r="AG91" s="70">
        <v>40.7</v>
      </c>
      <c r="AH91" s="71">
        <f t="shared" si="40"/>
        <v>0.2282</v>
      </c>
      <c r="AJ91" s="72">
        <v>1</v>
      </c>
      <c r="AL91" s="73"/>
      <c r="AM91" s="74">
        <f t="shared" si="0"/>
        <v>0</v>
      </c>
      <c r="AN91" s="75">
        <f t="shared" si="41"/>
        <v>0</v>
      </c>
    </row>
    <row r="92" spans="1:40" ht="45">
      <c r="A92" t="str">
        <f t="shared" si="34"/>
        <v>S</v>
      </c>
      <c r="B92">
        <f ca="1" t="shared" si="2"/>
        <v>2</v>
      </c>
      <c r="C92" t="str">
        <f ca="1" t="shared" si="3"/>
        <v>S</v>
      </c>
      <c r="D92">
        <f t="shared" si="4"/>
        <v>0</v>
      </c>
      <c r="E92" t="e">
        <f ca="1">IF($C92=1,OFFSET(E92,-1,0)+MAX(1,COUNTIF('[1]QCI'!$A$13:$A$24,OFFSET('[1]ORÇAMENTO'!E90,-1,0))),OFFSET(E92,-1,0))</f>
        <v>#VALUE!</v>
      </c>
      <c r="F92">
        <f ca="1" t="shared" si="5"/>
        <v>4</v>
      </c>
      <c r="G92">
        <f ca="1" t="shared" si="6"/>
        <v>0</v>
      </c>
      <c r="H92">
        <f ca="1" t="shared" si="7"/>
        <v>0</v>
      </c>
      <c r="I92">
        <f ca="1" t="shared" si="8"/>
        <v>0</v>
      </c>
      <c r="J92">
        <f ca="1" t="shared" si="42"/>
        <v>0</v>
      </c>
      <c r="K92">
        <f ca="1">IF(OR($C92="S",$C92=0),0,MATCH(OFFSET($D92,0,$C92)+IF($C92&lt;&gt;1,1,COUNTIF('[1]QCI'!$A$13:$A$24,'[1]ORÇAMENTO'!E90)),OFFSET($D92,1,$C92,ROW($C$223)-ROW($C92)),0))</f>
        <v>0</v>
      </c>
      <c r="L92" s="53">
        <f t="shared" si="10"/>
      </c>
      <c r="M92" s="54" t="s">
        <v>7</v>
      </c>
      <c r="N92" s="55" t="str">
        <f t="shared" si="11"/>
        <v>Serviço</v>
      </c>
      <c r="O92" s="56" t="s">
        <v>315</v>
      </c>
      <c r="P92" s="57" t="s">
        <v>62</v>
      </c>
      <c r="Q92" s="58" t="s">
        <v>167</v>
      </c>
      <c r="R92" s="59" t="s">
        <v>173</v>
      </c>
      <c r="S92" s="60" t="s">
        <v>142</v>
      </c>
      <c r="T92" s="61">
        <f t="shared" si="43"/>
        <v>2</v>
      </c>
      <c r="U92" s="62"/>
      <c r="V92" s="63" t="s">
        <v>10</v>
      </c>
      <c r="W92" s="61">
        <f t="shared" si="35"/>
        <v>0</v>
      </c>
      <c r="X92" s="64">
        <f>IF($C92="S",VTOTAL1,IF($C92=0,0,ROUND(SomaAgrup,15-13*$AF$11)))</f>
        <v>0</v>
      </c>
      <c r="Y92" s="65" t="s">
        <v>63</v>
      </c>
      <c r="Z92">
        <f t="shared" si="13"/>
      </c>
      <c r="AA92" s="66">
        <f>IF($C92="S",IF($Z92="CP",$X92,IF($Z92="RA",(($X92)*'[1]QCI'!$AA$3),0)),SomaAgrup)</f>
        <v>0</v>
      </c>
      <c r="AB92" s="67">
        <f t="shared" si="36"/>
        <v>0</v>
      </c>
      <c r="AC92" s="68">
        <f t="shared" si="37"/>
      </c>
      <c r="AD92" s="8">
        <f ca="1">IF(C92&lt;=CRONO.NivelExibicao,MAX($AD$15:OFFSET(AD92,-1,0))+IF($C92&lt;&gt;1,1,MAX(1,COUNTIF('[1]QCI'!$A$13:$A$24,OFFSET($E92,-1,0)))),"")</f>
      </c>
      <c r="AE92" s="18" t="str">
        <f t="shared" si="38"/>
        <v>SINAPI  93142 </v>
      </c>
      <c r="AF92" s="69" t="e">
        <f ca="1" t="shared" si="39"/>
        <v>#VALUE!</v>
      </c>
      <c r="AG92" s="70">
        <v>196.8</v>
      </c>
      <c r="AH92" s="71">
        <f t="shared" si="40"/>
        <v>0.2282</v>
      </c>
      <c r="AJ92" s="72">
        <v>2</v>
      </c>
      <c r="AL92" s="73"/>
      <c r="AM92" s="74">
        <f t="shared" si="0"/>
        <v>0</v>
      </c>
      <c r="AN92" s="75">
        <f t="shared" si="41"/>
        <v>0</v>
      </c>
    </row>
    <row r="93" spans="1:40" ht="15">
      <c r="A93">
        <f t="shared" si="34"/>
        <v>1</v>
      </c>
      <c r="B93">
        <f ca="1" t="shared" si="2"/>
        <v>1</v>
      </c>
      <c r="C93">
        <f ca="1" t="shared" si="3"/>
        <v>1</v>
      </c>
      <c r="D93">
        <f t="shared" si="4"/>
        <v>130</v>
      </c>
      <c r="E93" t="e">
        <f ca="1">IF($C93=1,OFFSET(E93,-1,0)+MAX(1,COUNTIF('[1]QCI'!$A$13:$A$24,OFFSET('[1]ORÇAMENTO'!E91,-1,0))),OFFSET(E93,-1,0))</f>
        <v>#VALUE!</v>
      </c>
      <c r="F93">
        <f ca="1" t="shared" si="5"/>
        <v>0</v>
      </c>
      <c r="G93">
        <f ca="1" t="shared" si="6"/>
        <v>0</v>
      </c>
      <c r="H93">
        <f ca="1" t="shared" si="7"/>
        <v>0</v>
      </c>
      <c r="I93">
        <f ca="1" t="shared" si="8"/>
        <v>0</v>
      </c>
      <c r="J93">
        <f ca="1" t="shared" si="42"/>
        <v>130</v>
      </c>
      <c r="K93" t="e">
        <f ca="1">IF(OR($C93="S",$C93=0),0,MATCH(OFFSET($D93,0,$C93)+IF($C93&lt;&gt;1,1,COUNTIF('[1]QCI'!$A$13:$A$24,'[1]ORÇAMENTO'!E91)),OFFSET($D93,1,$C93,ROW($C$223)-ROW($C93)),0))</f>
        <v>#VALUE!</v>
      </c>
      <c r="L93" s="53" t="str">
        <f t="shared" si="10"/>
        <v>F</v>
      </c>
      <c r="M93" s="54" t="s">
        <v>3</v>
      </c>
      <c r="N93" s="55" t="str">
        <f t="shared" si="11"/>
        <v>Meta</v>
      </c>
      <c r="O93" s="56" t="s">
        <v>316</v>
      </c>
      <c r="P93" s="57" t="s">
        <v>62</v>
      </c>
      <c r="Q93" s="58"/>
      <c r="R93" s="59" t="s">
        <v>93</v>
      </c>
      <c r="S93" s="60" t="str">
        <f>REFERENCIA.Unidade</f>
        <v>-</v>
      </c>
      <c r="T93" s="61" t="e">
        <f ca="1">OFFSET('[1]CÁLCULO'!H$15,ROW($T93)-ROW(T$15),0)</f>
        <v>#VALUE!</v>
      </c>
      <c r="U93" s="62"/>
      <c r="V93" s="63" t="s">
        <v>10</v>
      </c>
      <c r="W93" s="61">
        <f t="shared" si="35"/>
        <v>0</v>
      </c>
      <c r="X93" s="64">
        <f>ROUND(SUM(X94,X98,X101,),2)</f>
        <v>0</v>
      </c>
      <c r="Y93" s="65" t="s">
        <v>63</v>
      </c>
      <c r="Z93">
        <f t="shared" si="13"/>
      </c>
      <c r="AA93" s="66">
        <f>IF($C93="S",IF($Z93="CP",$X93,IF($Z93="RA",(($X93)*'[1]QCI'!$AA$3),0)),SomaAgrup)</f>
        <v>0</v>
      </c>
      <c r="AB93" s="67">
        <f t="shared" si="36"/>
        <v>0</v>
      </c>
      <c r="AC93" s="68" t="e">
        <f t="shared" si="37"/>
        <v>#VALUE!</v>
      </c>
      <c r="AD93" s="8" t="e">
        <f ca="1">IF(C93&lt;=CRONO.NivelExibicao,MAX($AD$15:OFFSET(AD93,-1,0))+IF($C93&lt;&gt;1,1,MAX(1,COUNTIF('[1]QCI'!$A$13:$A$24,OFFSET($E93,-1,0)))),"")</f>
        <v>#VALUE!</v>
      </c>
      <c r="AE93" s="18" t="b">
        <f t="shared" si="38"/>
        <v>0</v>
      </c>
      <c r="AF93" s="69" t="e">
        <f ca="1" t="shared" si="39"/>
        <v>#VALUE!</v>
      </c>
      <c r="AG93" s="70" t="e">
        <f>ROUND(IF(DESONERACAO="sim",REFERENCIA.Desonerado,REFERENCIA.NaoDesonerado),2)</f>
        <v>#VALUE!</v>
      </c>
      <c r="AH93" s="71">
        <f t="shared" si="40"/>
        <v>0.2282</v>
      </c>
      <c r="AJ93" s="72"/>
      <c r="AL93" s="73"/>
      <c r="AM93" s="74">
        <f t="shared" si="0"/>
        <v>0</v>
      </c>
      <c r="AN93" s="75">
        <f t="shared" si="41"/>
        <v>0</v>
      </c>
    </row>
    <row r="94" spans="1:40" ht="15">
      <c r="A94" t="str">
        <f t="shared" si="34"/>
        <v>S</v>
      </c>
      <c r="B94">
        <f ca="1" t="shared" si="2"/>
        <v>2</v>
      </c>
      <c r="C94">
        <f ca="1" t="shared" si="3"/>
        <v>2</v>
      </c>
      <c r="D94">
        <f t="shared" si="4"/>
        <v>4</v>
      </c>
      <c r="E94" t="e">
        <f ca="1">IF($C94=1,OFFSET(E94,-1,0)+MAX(1,COUNTIF('[1]QCI'!$A$13:$A$24,OFFSET('[1]ORÇAMENTO'!E92,-1,0))),OFFSET(E94,-1,0))</f>
        <v>#VALUE!</v>
      </c>
      <c r="F94">
        <f ca="1" t="shared" si="5"/>
        <v>1</v>
      </c>
      <c r="G94">
        <f ca="1" t="shared" si="6"/>
        <v>0</v>
      </c>
      <c r="H94">
        <f ca="1" t="shared" si="7"/>
        <v>0</v>
      </c>
      <c r="I94">
        <f ca="1" t="shared" si="8"/>
        <v>0</v>
      </c>
      <c r="J94">
        <f ca="1" t="shared" si="42"/>
        <v>18</v>
      </c>
      <c r="K94">
        <f ca="1">IF(OR($C94="S",$C94=0),0,MATCH(OFFSET($D94,0,$C94)+IF($C94&lt;&gt;1,1,COUNTIF('[1]QCI'!$A$13:$A$24,'[1]ORÇAMENTO'!E92)),OFFSET($D94,1,$C94,ROW($C$223)-ROW($C94)),0))</f>
        <v>4</v>
      </c>
      <c r="L94" s="53" t="str">
        <f t="shared" si="10"/>
        <v>F</v>
      </c>
      <c r="M94" s="54" t="s">
        <v>7</v>
      </c>
      <c r="N94" s="55" t="str">
        <f t="shared" si="11"/>
        <v>Nível 2</v>
      </c>
      <c r="O94" s="56" t="s">
        <v>317</v>
      </c>
      <c r="P94" s="57" t="s">
        <v>62</v>
      </c>
      <c r="Q94" s="58"/>
      <c r="R94" s="59" t="s">
        <v>67</v>
      </c>
      <c r="S94" s="60" t="str">
        <f>REFERENCIA.Unidade</f>
        <v>-</v>
      </c>
      <c r="T94" s="61" t="e">
        <f ca="1">OFFSET('[1]CÁLCULO'!H$15,ROW($T94)-ROW(T$15),0)</f>
        <v>#VALUE!</v>
      </c>
      <c r="U94" s="62"/>
      <c r="V94" s="63" t="s">
        <v>10</v>
      </c>
      <c r="W94" s="61">
        <f t="shared" si="35"/>
        <v>0</v>
      </c>
      <c r="X94" s="64">
        <f>ROUND(SUM(X95:X97),2)</f>
        <v>0</v>
      </c>
      <c r="Y94" s="65" t="s">
        <v>63</v>
      </c>
      <c r="Z94">
        <f t="shared" si="13"/>
      </c>
      <c r="AA94" s="66">
        <f>IF($C94="S",IF($Z94="CP",$X94,IF($Z94="RA",(($X94)*'[1]QCI'!$AA$3),0)),SomaAgrup)</f>
        <v>0</v>
      </c>
      <c r="AB94" s="67">
        <f t="shared" si="36"/>
        <v>0</v>
      </c>
      <c r="AC94" s="68" t="e">
        <f t="shared" si="37"/>
        <v>#VALUE!</v>
      </c>
      <c r="AD94" s="8" t="e">
        <f ca="1">IF(C94&lt;=CRONO.NivelExibicao,MAX($AD$15:OFFSET(AD94,-1,0))+IF($C94&lt;&gt;1,1,MAX(1,COUNTIF('[1]QCI'!$A$13:$A$24,OFFSET($E94,-1,0)))),"")</f>
        <v>#VALUE!</v>
      </c>
      <c r="AE94" s="18" t="b">
        <f t="shared" si="38"/>
        <v>0</v>
      </c>
      <c r="AF94" s="69" t="e">
        <f ca="1" t="shared" si="39"/>
        <v>#VALUE!</v>
      </c>
      <c r="AG94" s="70" t="e">
        <f>ROUND(IF(DESONERACAO="sim",REFERENCIA.Desonerado,REFERENCIA.NaoDesonerado),2)</f>
        <v>#VALUE!</v>
      </c>
      <c r="AH94" s="71">
        <f t="shared" si="40"/>
        <v>0.2282</v>
      </c>
      <c r="AJ94" s="72"/>
      <c r="AL94" s="73"/>
      <c r="AM94" s="74">
        <f t="shared" si="0"/>
        <v>0</v>
      </c>
      <c r="AN94" s="75">
        <f t="shared" si="41"/>
        <v>0</v>
      </c>
    </row>
    <row r="95" spans="1:40" ht="30">
      <c r="A95" t="str">
        <f t="shared" si="34"/>
        <v>S</v>
      </c>
      <c r="B95">
        <f ca="1" t="shared" si="2"/>
        <v>2</v>
      </c>
      <c r="C95" t="str">
        <f ca="1" t="shared" si="3"/>
        <v>S</v>
      </c>
      <c r="D95">
        <f t="shared" si="4"/>
        <v>0</v>
      </c>
      <c r="E95" t="e">
        <f ca="1">IF($C95=1,OFFSET(E95,-1,0)+MAX(1,COUNTIF('[1]QCI'!$A$13:$A$24,OFFSET('[1]ORÇAMENTO'!E93,-1,0))),OFFSET(E95,-1,0))</f>
        <v>#VALUE!</v>
      </c>
      <c r="F95">
        <f ca="1" t="shared" si="5"/>
        <v>1</v>
      </c>
      <c r="G95">
        <f ca="1" t="shared" si="6"/>
        <v>0</v>
      </c>
      <c r="H95">
        <f ca="1" t="shared" si="7"/>
        <v>0</v>
      </c>
      <c r="I95">
        <f ca="1" t="shared" si="8"/>
        <v>0</v>
      </c>
      <c r="J95">
        <f ca="1" t="shared" si="42"/>
        <v>0</v>
      </c>
      <c r="K95">
        <f ca="1">IF(OR($C95="S",$C95=0),0,MATCH(OFFSET($D95,0,$C95)+IF($C95&lt;&gt;1,1,COUNTIF('[1]QCI'!$A$13:$A$24,'[1]ORÇAMENTO'!E93)),OFFSET($D95,1,$C95,ROW($C$223)-ROW($C95)),0))</f>
        <v>0</v>
      </c>
      <c r="L95" s="53">
        <f t="shared" si="10"/>
      </c>
      <c r="M95" s="54" t="s">
        <v>7</v>
      </c>
      <c r="N95" s="55" t="str">
        <f t="shared" si="11"/>
        <v>Serviço</v>
      </c>
      <c r="O95" s="56" t="s">
        <v>318</v>
      </c>
      <c r="P95" s="57" t="s">
        <v>62</v>
      </c>
      <c r="Q95" s="58" t="s">
        <v>134</v>
      </c>
      <c r="R95" s="59" t="s">
        <v>127</v>
      </c>
      <c r="S95" s="60" t="s">
        <v>141</v>
      </c>
      <c r="T95" s="61">
        <f>AJ95</f>
        <v>13.64</v>
      </c>
      <c r="U95" s="62"/>
      <c r="V95" s="63" t="s">
        <v>10</v>
      </c>
      <c r="W95" s="61">
        <f t="shared" si="35"/>
        <v>0</v>
      </c>
      <c r="X95" s="64">
        <f>IF($C95="S",VTOTAL1,IF($C95=0,0,ROUND(SomaAgrup,15-13*$AF$11)))</f>
        <v>0</v>
      </c>
      <c r="Y95" s="65" t="s">
        <v>63</v>
      </c>
      <c r="Z95">
        <f t="shared" si="13"/>
      </c>
      <c r="AA95" s="66">
        <f>IF($C95="S",IF($Z95="CP",$X95,IF($Z95="RA",(($X95)*'[1]QCI'!$AA$3),0)),SomaAgrup)</f>
        <v>0</v>
      </c>
      <c r="AB95" s="67">
        <f t="shared" si="36"/>
        <v>0</v>
      </c>
      <c r="AC95" s="68">
        <f t="shared" si="37"/>
      </c>
      <c r="AD95" s="8">
        <f ca="1">IF(C95&lt;=CRONO.NivelExibicao,MAX($AD$15:OFFSET(AD95,-1,0))+IF($C95&lt;&gt;1,1,MAX(1,COUNTIF('[1]QCI'!$A$13:$A$24,OFFSET($E95,-1,0)))),"")</f>
      </c>
      <c r="AE95" s="18" t="str">
        <f t="shared" si="38"/>
        <v>SINAPI  97647 </v>
      </c>
      <c r="AF95" s="69" t="e">
        <f ca="1" t="shared" si="39"/>
        <v>#VALUE!</v>
      </c>
      <c r="AG95" s="70">
        <v>2.81</v>
      </c>
      <c r="AH95" s="71">
        <f t="shared" si="40"/>
        <v>0.2282</v>
      </c>
      <c r="AJ95" s="72">
        <v>13.64</v>
      </c>
      <c r="AL95" s="73"/>
      <c r="AM95" s="74">
        <f t="shared" si="0"/>
        <v>0</v>
      </c>
      <c r="AN95" s="75">
        <f t="shared" si="41"/>
        <v>0</v>
      </c>
    </row>
    <row r="96" spans="1:40" ht="45">
      <c r="A96" t="str">
        <f t="shared" si="34"/>
        <v>S</v>
      </c>
      <c r="B96">
        <f ca="1" t="shared" si="2"/>
        <v>2</v>
      </c>
      <c r="C96" t="str">
        <f ca="1" t="shared" si="3"/>
        <v>S</v>
      </c>
      <c r="D96">
        <f t="shared" si="4"/>
        <v>0</v>
      </c>
      <c r="E96" t="e">
        <f ca="1">IF($C96=1,OFFSET(E96,-1,0)+MAX(1,COUNTIF('[1]QCI'!$A$13:$A$24,OFFSET('[1]ORÇAMENTO'!E94,-1,0))),OFFSET(E96,-1,0))</f>
        <v>#VALUE!</v>
      </c>
      <c r="F96">
        <f ca="1" t="shared" si="5"/>
        <v>1</v>
      </c>
      <c r="G96">
        <f ca="1" t="shared" si="6"/>
        <v>0</v>
      </c>
      <c r="H96">
        <f ca="1" t="shared" si="7"/>
        <v>0</v>
      </c>
      <c r="I96">
        <f ca="1" t="shared" si="8"/>
        <v>0</v>
      </c>
      <c r="J96">
        <f ca="1" t="shared" si="42"/>
        <v>0</v>
      </c>
      <c r="K96">
        <f ca="1">IF(OR($C96="S",$C96=0),0,MATCH(OFFSET($D96,0,$C96)+IF($C96&lt;&gt;1,1,COUNTIF('[1]QCI'!$A$13:$A$24,'[1]ORÇAMENTO'!E94)),OFFSET($D96,1,$C96,ROW($C$223)-ROW($C96)),0))</f>
        <v>0</v>
      </c>
      <c r="L96" s="53">
        <f t="shared" si="10"/>
      </c>
      <c r="M96" s="54" t="s">
        <v>7</v>
      </c>
      <c r="N96" s="55" t="str">
        <f t="shared" si="11"/>
        <v>Serviço</v>
      </c>
      <c r="O96" s="56" t="s">
        <v>319</v>
      </c>
      <c r="P96" s="57" t="s">
        <v>62</v>
      </c>
      <c r="Q96" s="58" t="s">
        <v>138</v>
      </c>
      <c r="R96" s="59" t="s">
        <v>131</v>
      </c>
      <c r="S96" s="60" t="s">
        <v>141</v>
      </c>
      <c r="T96" s="61">
        <f>AJ96</f>
        <v>13.64</v>
      </c>
      <c r="U96" s="62"/>
      <c r="V96" s="63" t="s">
        <v>10</v>
      </c>
      <c r="W96" s="61">
        <f t="shared" si="35"/>
        <v>0</v>
      </c>
      <c r="X96" s="64">
        <f>IF($C96="S",VTOTAL1,IF($C96=0,0,ROUND(SomaAgrup,15-13*$AF$11)))</f>
        <v>0</v>
      </c>
      <c r="Y96" s="65" t="s">
        <v>63</v>
      </c>
      <c r="Z96">
        <f t="shared" si="13"/>
      </c>
      <c r="AA96" s="66">
        <f>IF($C96="S",IF($Z96="CP",$X96,IF($Z96="RA",(($X96)*'[1]QCI'!$AA$3),0)),SomaAgrup)</f>
        <v>0</v>
      </c>
      <c r="AB96" s="67">
        <f t="shared" si="36"/>
        <v>0</v>
      </c>
      <c r="AC96" s="68">
        <f t="shared" si="37"/>
      </c>
      <c r="AD96" s="8">
        <f ca="1">IF(C96&lt;=CRONO.NivelExibicao,MAX($AD$15:OFFSET(AD96,-1,0))+IF($C96&lt;&gt;1,1,MAX(1,COUNTIF('[1]QCI'!$A$13:$A$24,OFFSET($E96,-1,0)))),"")</f>
      </c>
      <c r="AE96" s="18" t="str">
        <f t="shared" si="38"/>
        <v>SINAPI  92539 </v>
      </c>
      <c r="AF96" s="69" t="e">
        <f ca="1" t="shared" si="39"/>
        <v>#VALUE!</v>
      </c>
      <c r="AG96" s="70">
        <v>80.97</v>
      </c>
      <c r="AH96" s="71">
        <f t="shared" si="40"/>
        <v>0.2282</v>
      </c>
      <c r="AJ96" s="72">
        <v>13.64</v>
      </c>
      <c r="AL96" s="73"/>
      <c r="AM96" s="74">
        <f t="shared" si="0"/>
        <v>0</v>
      </c>
      <c r="AN96" s="75">
        <f t="shared" si="41"/>
        <v>0</v>
      </c>
    </row>
    <row r="97" spans="1:40" ht="60">
      <c r="A97" t="str">
        <f t="shared" si="34"/>
        <v>S</v>
      </c>
      <c r="B97">
        <f ca="1" t="shared" si="2"/>
        <v>2</v>
      </c>
      <c r="C97" t="str">
        <f ca="1" t="shared" si="3"/>
        <v>S</v>
      </c>
      <c r="D97">
        <f t="shared" si="4"/>
        <v>0</v>
      </c>
      <c r="E97" t="e">
        <f ca="1">IF($C97=1,OFFSET(E97,-1,0)+MAX(1,COUNTIF('[1]QCI'!$A$13:$A$24,OFFSET('[1]ORÇAMENTO'!E95,-1,0))),OFFSET(E97,-1,0))</f>
        <v>#VALUE!</v>
      </c>
      <c r="F97">
        <f ca="1" t="shared" si="5"/>
        <v>1</v>
      </c>
      <c r="G97">
        <f ca="1" t="shared" si="6"/>
        <v>0</v>
      </c>
      <c r="H97">
        <f ca="1" t="shared" si="7"/>
        <v>0</v>
      </c>
      <c r="I97">
        <f ca="1" t="shared" si="8"/>
        <v>0</v>
      </c>
      <c r="J97">
        <f ca="1" t="shared" si="42"/>
        <v>0</v>
      </c>
      <c r="K97">
        <f ca="1">IF(OR($C97="S",$C97=0),0,MATCH(OFFSET($D97,0,$C97)+IF($C97&lt;&gt;1,1,COUNTIF('[1]QCI'!$A$13:$A$24,'[1]ORÇAMENTO'!E95)),OFFSET($D97,1,$C97,ROW($C$223)-ROW($C97)),0))</f>
        <v>0</v>
      </c>
      <c r="L97" s="53">
        <f t="shared" si="10"/>
      </c>
      <c r="M97" s="54" t="s">
        <v>7</v>
      </c>
      <c r="N97" s="55" t="str">
        <f t="shared" si="11"/>
        <v>Serviço</v>
      </c>
      <c r="O97" s="56" t="s">
        <v>320</v>
      </c>
      <c r="P97" s="57" t="s">
        <v>62</v>
      </c>
      <c r="Q97" s="58" t="s">
        <v>174</v>
      </c>
      <c r="R97" s="59" t="s">
        <v>175</v>
      </c>
      <c r="S97" s="60" t="s">
        <v>141</v>
      </c>
      <c r="T97" s="61">
        <f>AJ97</f>
        <v>13.64</v>
      </c>
      <c r="U97" s="62"/>
      <c r="V97" s="63" t="s">
        <v>10</v>
      </c>
      <c r="W97" s="61">
        <f t="shared" si="35"/>
        <v>0</v>
      </c>
      <c r="X97" s="64">
        <f>IF($C97="S",VTOTAL1,IF($C97=0,0,ROUND(SomaAgrup,15-13*$AF$11)))</f>
        <v>0</v>
      </c>
      <c r="Y97" s="65" t="s">
        <v>63</v>
      </c>
      <c r="Z97">
        <f t="shared" si="13"/>
      </c>
      <c r="AA97" s="66">
        <f>IF($C97="S",IF($Z97="CP",$X97,IF($Z97="RA",(($X97)*'[1]QCI'!$AA$3),0)),SomaAgrup)</f>
        <v>0</v>
      </c>
      <c r="AB97" s="67">
        <f t="shared" si="36"/>
        <v>0</v>
      </c>
      <c r="AC97" s="68">
        <f t="shared" si="37"/>
      </c>
      <c r="AD97" s="8">
        <f ca="1">IF(C97&lt;=CRONO.NivelExibicao,MAX($AD$15:OFFSET(AD97,-1,0))+IF($C97&lt;&gt;1,1,MAX(1,COUNTIF('[1]QCI'!$A$13:$A$24,OFFSET($E97,-1,0)))),"")</f>
      </c>
      <c r="AE97" s="18" t="str">
        <f t="shared" si="38"/>
        <v>SINAPI  94210 </v>
      </c>
      <c r="AF97" s="69" t="e">
        <f ca="1" t="shared" si="39"/>
        <v>#VALUE!</v>
      </c>
      <c r="AG97" s="70">
        <v>59.63</v>
      </c>
      <c r="AH97" s="71">
        <f t="shared" si="40"/>
        <v>0.2282</v>
      </c>
      <c r="AJ97" s="72">
        <v>13.64</v>
      </c>
      <c r="AL97" s="73"/>
      <c r="AM97" s="74">
        <f t="shared" si="0"/>
        <v>0</v>
      </c>
      <c r="AN97" s="75">
        <f t="shared" si="41"/>
        <v>0</v>
      </c>
    </row>
    <row r="98" spans="1:40" ht="15">
      <c r="A98">
        <f t="shared" si="34"/>
        <v>2</v>
      </c>
      <c r="B98">
        <f ca="1" t="shared" si="2"/>
        <v>2</v>
      </c>
      <c r="C98">
        <f ca="1" t="shared" si="3"/>
        <v>2</v>
      </c>
      <c r="D98">
        <f t="shared" si="4"/>
        <v>3</v>
      </c>
      <c r="E98" t="e">
        <f ca="1">IF($C98=1,OFFSET(E98,-1,0)+MAX(1,COUNTIF('[1]QCI'!$A$13:$A$24,OFFSET('[1]ORÇAMENTO'!E96,-1,0))),OFFSET(E98,-1,0))</f>
        <v>#VALUE!</v>
      </c>
      <c r="F98">
        <f ca="1" t="shared" si="5"/>
        <v>2</v>
      </c>
      <c r="G98">
        <f ca="1" t="shared" si="6"/>
        <v>0</v>
      </c>
      <c r="H98">
        <f ca="1" t="shared" si="7"/>
        <v>0</v>
      </c>
      <c r="I98">
        <f ca="1" t="shared" si="8"/>
        <v>0</v>
      </c>
      <c r="J98">
        <f ca="1" t="shared" si="42"/>
        <v>14</v>
      </c>
      <c r="K98">
        <f ca="1">IF(OR($C98="S",$C98=0),0,MATCH(OFFSET($D98,0,$C98)+IF($C98&lt;&gt;1,1,COUNTIF('[1]QCI'!$A$13:$A$24,'[1]ORÇAMENTO'!E96)),OFFSET($D98,1,$C98,ROW($C$223)-ROW($C98)),0))</f>
        <v>3</v>
      </c>
      <c r="L98" s="53" t="str">
        <f t="shared" si="10"/>
        <v>F</v>
      </c>
      <c r="M98" s="54" t="s">
        <v>4</v>
      </c>
      <c r="N98" s="55" t="str">
        <f t="shared" si="11"/>
        <v>Nível 2</v>
      </c>
      <c r="O98" s="56" t="s">
        <v>321</v>
      </c>
      <c r="P98" s="57" t="s">
        <v>62</v>
      </c>
      <c r="Q98" s="58"/>
      <c r="R98" s="59" t="s">
        <v>94</v>
      </c>
      <c r="S98" s="60" t="str">
        <f>REFERENCIA.Unidade</f>
        <v>-</v>
      </c>
      <c r="T98" s="61" t="e">
        <f ca="1">OFFSET('[1]CÁLCULO'!H$15,ROW($T98)-ROW(T$15),0)</f>
        <v>#VALUE!</v>
      </c>
      <c r="U98" s="62"/>
      <c r="V98" s="63" t="s">
        <v>10</v>
      </c>
      <c r="W98" s="61">
        <f t="shared" si="35"/>
        <v>0</v>
      </c>
      <c r="X98" s="64">
        <f>ROUND(SUM(X99:X100),2)</f>
        <v>0</v>
      </c>
      <c r="Y98" s="65" t="s">
        <v>63</v>
      </c>
      <c r="Z98">
        <f t="shared" si="13"/>
      </c>
      <c r="AA98" s="66">
        <f>IF($C98="S",IF($Z98="CP",$X98,IF($Z98="RA",(($X98)*'[1]QCI'!$AA$3),0)),SomaAgrup)</f>
        <v>0</v>
      </c>
      <c r="AB98" s="67">
        <f t="shared" si="36"/>
        <v>0</v>
      </c>
      <c r="AC98" s="68" t="e">
        <f t="shared" si="37"/>
        <v>#VALUE!</v>
      </c>
      <c r="AD98" s="8" t="e">
        <f ca="1">IF(C98&lt;=CRONO.NivelExibicao,MAX($AD$15:OFFSET(AD98,-1,0))+IF($C98&lt;&gt;1,1,MAX(1,COUNTIF('[1]QCI'!$A$13:$A$24,OFFSET($E98,-1,0)))),"")</f>
        <v>#VALUE!</v>
      </c>
      <c r="AE98" s="18" t="b">
        <f t="shared" si="38"/>
        <v>0</v>
      </c>
      <c r="AF98" s="69" t="e">
        <f ca="1" t="shared" si="39"/>
        <v>#VALUE!</v>
      </c>
      <c r="AG98" s="70" t="e">
        <f>ROUND(IF(DESONERACAO="sim",REFERENCIA.Desonerado,REFERENCIA.NaoDesonerado),2)</f>
        <v>#VALUE!</v>
      </c>
      <c r="AH98" s="71">
        <f t="shared" si="40"/>
        <v>0.2282</v>
      </c>
      <c r="AJ98" s="72"/>
      <c r="AL98" s="73"/>
      <c r="AM98" s="74">
        <f t="shared" si="0"/>
        <v>0</v>
      </c>
      <c r="AN98" s="75">
        <f t="shared" si="41"/>
        <v>0</v>
      </c>
    </row>
    <row r="99" spans="1:40" ht="30">
      <c r="A99" t="str">
        <f t="shared" si="34"/>
        <v>S</v>
      </c>
      <c r="B99">
        <f ca="1" t="shared" si="2"/>
        <v>2</v>
      </c>
      <c r="C99" t="str">
        <f ca="1" t="shared" si="3"/>
        <v>S</v>
      </c>
      <c r="D99">
        <f t="shared" si="4"/>
        <v>0</v>
      </c>
      <c r="E99" t="e">
        <f ca="1">IF($C99=1,OFFSET(E99,-1,0)+MAX(1,COUNTIF('[1]QCI'!$A$13:$A$24,OFFSET('[1]ORÇAMENTO'!E97,-1,0))),OFFSET(E99,-1,0))</f>
        <v>#VALUE!</v>
      </c>
      <c r="F99">
        <f ca="1" t="shared" si="5"/>
        <v>2</v>
      </c>
      <c r="G99">
        <f ca="1" t="shared" si="6"/>
        <v>0</v>
      </c>
      <c r="H99">
        <f ca="1" t="shared" si="7"/>
        <v>0</v>
      </c>
      <c r="I99">
        <f ca="1" t="shared" si="8"/>
        <v>0</v>
      </c>
      <c r="J99">
        <f ca="1" t="shared" si="42"/>
        <v>0</v>
      </c>
      <c r="K99">
        <f ca="1">IF(OR($C99="S",$C99=0),0,MATCH(OFFSET($D99,0,$C99)+IF($C99&lt;&gt;1,1,COUNTIF('[1]QCI'!$A$13:$A$24,'[1]ORÇAMENTO'!E97)),OFFSET($D99,1,$C99,ROW($C$223)-ROW($C99)),0))</f>
        <v>0</v>
      </c>
      <c r="L99" s="53">
        <f t="shared" si="10"/>
      </c>
      <c r="M99" s="54" t="s">
        <v>7</v>
      </c>
      <c r="N99" s="55" t="str">
        <f t="shared" si="11"/>
        <v>Serviço</v>
      </c>
      <c r="O99" s="56" t="s">
        <v>322</v>
      </c>
      <c r="P99" s="57" t="s">
        <v>62</v>
      </c>
      <c r="Q99" s="58" t="s">
        <v>176</v>
      </c>
      <c r="R99" s="59" t="s">
        <v>178</v>
      </c>
      <c r="S99" s="60" t="s">
        <v>141</v>
      </c>
      <c r="T99" s="61">
        <f>AJ99</f>
        <v>13.64</v>
      </c>
      <c r="U99" s="62"/>
      <c r="V99" s="63" t="s">
        <v>10</v>
      </c>
      <c r="W99" s="61">
        <f t="shared" si="35"/>
        <v>0</v>
      </c>
      <c r="X99" s="64">
        <f>IF($C99="S",VTOTAL1,IF($C99=0,0,ROUND(SomaAgrup,15-13*$AF$11)))</f>
        <v>0</v>
      </c>
      <c r="Y99" s="65" t="s">
        <v>63</v>
      </c>
      <c r="Z99">
        <f t="shared" si="13"/>
      </c>
      <c r="AA99" s="66">
        <f>IF($C99="S",IF($Z99="CP",$X99,IF($Z99="RA",(($X99)*'[1]QCI'!$AA$3),0)),SomaAgrup)</f>
        <v>0</v>
      </c>
      <c r="AB99" s="67">
        <f t="shared" si="36"/>
        <v>0</v>
      </c>
      <c r="AC99" s="68">
        <f t="shared" si="37"/>
      </c>
      <c r="AD99" s="8">
        <f ca="1">IF(C99&lt;=CRONO.NivelExibicao,MAX($AD$15:OFFSET(AD99,-1,0))+IF($C99&lt;&gt;1,1,MAX(1,COUNTIF('[1]QCI'!$A$13:$A$24,OFFSET($E99,-1,0)))),"")</f>
      </c>
      <c r="AE99" s="18" t="str">
        <f t="shared" si="38"/>
        <v>SINAPI  97640 </v>
      </c>
      <c r="AF99" s="69" t="e">
        <f ca="1" t="shared" si="39"/>
        <v>#VALUE!</v>
      </c>
      <c r="AG99" s="70">
        <v>1.5</v>
      </c>
      <c r="AH99" s="71">
        <f t="shared" si="40"/>
        <v>0.2282</v>
      </c>
      <c r="AJ99" s="72">
        <v>13.64</v>
      </c>
      <c r="AL99" s="73"/>
      <c r="AM99" s="74">
        <f t="shared" si="0"/>
        <v>0</v>
      </c>
      <c r="AN99" s="75">
        <f t="shared" si="41"/>
        <v>0</v>
      </c>
    </row>
    <row r="100" spans="1:40" ht="30">
      <c r="A100" t="str">
        <f t="shared" si="34"/>
        <v>S</v>
      </c>
      <c r="B100">
        <f ca="1" t="shared" si="2"/>
        <v>2</v>
      </c>
      <c r="C100" t="str">
        <f ca="1" t="shared" si="3"/>
        <v>S</v>
      </c>
      <c r="D100">
        <f t="shared" si="4"/>
        <v>0</v>
      </c>
      <c r="E100" t="e">
        <f ca="1">IF($C100=1,OFFSET(E100,-1,0)+MAX(1,COUNTIF('[1]QCI'!$A$13:$A$24,OFFSET('[1]ORÇAMENTO'!E98,-1,0))),OFFSET(E100,-1,0))</f>
        <v>#VALUE!</v>
      </c>
      <c r="F100">
        <f ca="1" t="shared" si="5"/>
        <v>2</v>
      </c>
      <c r="G100">
        <f ca="1" t="shared" si="6"/>
        <v>0</v>
      </c>
      <c r="H100">
        <f ca="1" t="shared" si="7"/>
        <v>0</v>
      </c>
      <c r="I100">
        <f ca="1" t="shared" si="8"/>
        <v>0</v>
      </c>
      <c r="J100">
        <f ca="1" t="shared" si="42"/>
        <v>0</v>
      </c>
      <c r="K100">
        <f ca="1">IF(OR($C100="S",$C100=0),0,MATCH(OFFSET($D100,0,$C100)+IF($C100&lt;&gt;1,1,COUNTIF('[1]QCI'!$A$13:$A$24,'[1]ORÇAMENTO'!E98)),OFFSET($D100,1,$C100,ROW($C$223)-ROW($C100)),0))</f>
        <v>0</v>
      </c>
      <c r="L100" s="53">
        <f t="shared" si="10"/>
      </c>
      <c r="M100" s="54" t="s">
        <v>7</v>
      </c>
      <c r="N100" s="55" t="str">
        <f t="shared" si="11"/>
        <v>Serviço</v>
      </c>
      <c r="O100" s="56" t="s">
        <v>323</v>
      </c>
      <c r="P100" s="57" t="s">
        <v>62</v>
      </c>
      <c r="Q100" s="58" t="s">
        <v>177</v>
      </c>
      <c r="R100" s="59" t="s">
        <v>179</v>
      </c>
      <c r="S100" s="60" t="s">
        <v>141</v>
      </c>
      <c r="T100" s="61">
        <f>AJ100</f>
        <v>13.64</v>
      </c>
      <c r="U100" s="62"/>
      <c r="V100" s="63" t="s">
        <v>10</v>
      </c>
      <c r="W100" s="61">
        <f t="shared" si="35"/>
        <v>0</v>
      </c>
      <c r="X100" s="64">
        <f>IF($C100="S",VTOTAL1,IF($C100=0,0,ROUND(SomaAgrup,15-13*$AF$11)))</f>
        <v>0</v>
      </c>
      <c r="Y100" s="65" t="s">
        <v>63</v>
      </c>
      <c r="Z100">
        <f t="shared" si="13"/>
      </c>
      <c r="AA100" s="66">
        <f>IF($C100="S",IF($Z100="CP",$X100,IF($Z100="RA",(($X100)*'[1]QCI'!$AA$3),0)),SomaAgrup)</f>
        <v>0</v>
      </c>
      <c r="AB100" s="67">
        <f t="shared" si="36"/>
        <v>0</v>
      </c>
      <c r="AC100" s="68">
        <f t="shared" si="37"/>
      </c>
      <c r="AD100" s="8">
        <f ca="1">IF(C100&lt;=CRONO.NivelExibicao,MAX($AD$15:OFFSET(AD100,-1,0))+IF($C100&lt;&gt;1,1,MAX(1,COUNTIF('[1]QCI'!$A$13:$A$24,OFFSET($E100,-1,0)))),"")</f>
      </c>
      <c r="AE100" s="18" t="str">
        <f t="shared" si="38"/>
        <v>SINAPI  96486 </v>
      </c>
      <c r="AF100" s="69" t="e">
        <f ca="1" t="shared" si="39"/>
        <v>#VALUE!</v>
      </c>
      <c r="AG100" s="70">
        <v>95.06</v>
      </c>
      <c r="AH100" s="71">
        <f t="shared" si="40"/>
        <v>0.2282</v>
      </c>
      <c r="AJ100" s="72">
        <v>13.64</v>
      </c>
      <c r="AL100" s="73"/>
      <c r="AM100" s="74">
        <f t="shared" si="0"/>
        <v>0</v>
      </c>
      <c r="AN100" s="75">
        <f t="shared" si="41"/>
        <v>0</v>
      </c>
    </row>
    <row r="101" spans="1:40" ht="15">
      <c r="A101">
        <f t="shared" si="34"/>
        <v>2</v>
      </c>
      <c r="B101">
        <f ca="1" t="shared" si="2"/>
        <v>2</v>
      </c>
      <c r="C101">
        <f ca="1" t="shared" si="3"/>
        <v>2</v>
      </c>
      <c r="D101">
        <f t="shared" si="4"/>
        <v>11</v>
      </c>
      <c r="E101" t="e">
        <f ca="1">IF($C101=1,OFFSET(E101,-1,0)+MAX(1,COUNTIF('[1]QCI'!$A$13:$A$24,OFFSET('[1]ORÇAMENTO'!E99,-1,0))),OFFSET(E101,-1,0))</f>
        <v>#VALUE!</v>
      </c>
      <c r="F101">
        <f ca="1" t="shared" si="5"/>
        <v>3</v>
      </c>
      <c r="G101">
        <f ca="1" t="shared" si="6"/>
        <v>0</v>
      </c>
      <c r="H101">
        <f ca="1" t="shared" si="7"/>
        <v>0</v>
      </c>
      <c r="I101">
        <f ca="1" t="shared" si="8"/>
        <v>0</v>
      </c>
      <c r="J101">
        <f ca="1" t="shared" si="42"/>
        <v>11</v>
      </c>
      <c r="K101" t="e">
        <f ca="1">IF(OR($C101="S",$C101=0),0,MATCH(OFFSET($D101,0,$C101)+IF($C101&lt;&gt;1,1,COUNTIF('[1]QCI'!$A$13:$A$24,'[1]ORÇAMENTO'!E99)),OFFSET($D101,1,$C101,ROW($C$223)-ROW($C101)),0))</f>
        <v>#N/A</v>
      </c>
      <c r="L101" s="53" t="str">
        <f t="shared" si="10"/>
        <v>F</v>
      </c>
      <c r="M101" s="54" t="s">
        <v>4</v>
      </c>
      <c r="N101" s="55" t="str">
        <f t="shared" si="11"/>
        <v>Nível 2</v>
      </c>
      <c r="O101" s="56" t="s">
        <v>324</v>
      </c>
      <c r="P101" s="57" t="s">
        <v>62</v>
      </c>
      <c r="Q101" s="58"/>
      <c r="R101" s="59" t="s">
        <v>279</v>
      </c>
      <c r="S101" s="60" t="str">
        <f>REFERENCIA.Unidade</f>
        <v>-</v>
      </c>
      <c r="T101" s="61" t="e">
        <f ca="1">OFFSET('[1]CÁLCULO'!H$15,ROW($T101)-ROW(T$15),0)</f>
        <v>#VALUE!</v>
      </c>
      <c r="U101" s="62"/>
      <c r="V101" s="63" t="s">
        <v>10</v>
      </c>
      <c r="W101" s="61">
        <f t="shared" si="35"/>
        <v>0</v>
      </c>
      <c r="X101" s="64">
        <f>ROUND(SUM(X102:X111),2)</f>
        <v>0</v>
      </c>
      <c r="Y101" s="65" t="s">
        <v>63</v>
      </c>
      <c r="Z101">
        <f t="shared" si="13"/>
      </c>
      <c r="AA101" s="66">
        <f>IF($C101="S",IF($Z101="CP",$X101,IF($Z101="RA",(($X101)*'[1]QCI'!$AA$3),0)),SomaAgrup)</f>
        <v>0</v>
      </c>
      <c r="AB101" s="67">
        <f t="shared" si="36"/>
        <v>0</v>
      </c>
      <c r="AC101" s="68" t="e">
        <f t="shared" si="37"/>
        <v>#VALUE!</v>
      </c>
      <c r="AD101" s="8" t="e">
        <f ca="1">IF(C101&lt;=CRONO.NivelExibicao,MAX($AD$15:OFFSET(AD101,-1,0))+IF($C101&lt;&gt;1,1,MAX(1,COUNTIF('[1]QCI'!$A$13:$A$24,OFFSET($E101,-1,0)))),"")</f>
        <v>#VALUE!</v>
      </c>
      <c r="AE101" s="18" t="b">
        <f t="shared" si="38"/>
        <v>0</v>
      </c>
      <c r="AF101" s="69" t="e">
        <f ca="1" t="shared" si="39"/>
        <v>#VALUE!</v>
      </c>
      <c r="AG101" s="70" t="e">
        <f>ROUND(IF(DESONERACAO="sim",REFERENCIA.Desonerado,REFERENCIA.NaoDesonerado),2)</f>
        <v>#VALUE!</v>
      </c>
      <c r="AH101" s="71">
        <f t="shared" si="40"/>
        <v>0.2282</v>
      </c>
      <c r="AJ101" s="72"/>
      <c r="AL101" s="73"/>
      <c r="AM101" s="74">
        <f t="shared" si="0"/>
        <v>0</v>
      </c>
      <c r="AN101" s="75">
        <f t="shared" si="41"/>
        <v>0</v>
      </c>
    </row>
    <row r="102" spans="1:40" ht="45">
      <c r="A102" t="str">
        <f t="shared" si="34"/>
        <v>S</v>
      </c>
      <c r="B102">
        <f ca="1" t="shared" si="2"/>
        <v>2</v>
      </c>
      <c r="C102" t="str">
        <f ca="1" t="shared" si="3"/>
        <v>S</v>
      </c>
      <c r="D102">
        <f t="shared" si="4"/>
        <v>0</v>
      </c>
      <c r="E102" t="e">
        <f ca="1">IF($C102=1,OFFSET(E102,-1,0)+MAX(1,COUNTIF('[1]QCI'!$A$13:$A$24,OFFSET('[1]ORÇAMENTO'!E100,-1,0))),OFFSET(E102,-1,0))</f>
        <v>#VALUE!</v>
      </c>
      <c r="F102">
        <f ca="1" t="shared" si="5"/>
        <v>3</v>
      </c>
      <c r="G102">
        <f ca="1" t="shared" si="6"/>
        <v>0</v>
      </c>
      <c r="H102">
        <f ca="1" t="shared" si="7"/>
        <v>0</v>
      </c>
      <c r="I102">
        <f ca="1" t="shared" si="8"/>
        <v>0</v>
      </c>
      <c r="J102">
        <f ca="1" t="shared" si="42"/>
        <v>0</v>
      </c>
      <c r="K102">
        <f ca="1">IF(OR($C102="S",$C102=0),0,MATCH(OFFSET($D102,0,$C102)+IF($C102&lt;&gt;1,1,COUNTIF('[1]QCI'!$A$13:$A$24,'[1]ORÇAMENTO'!E100)),OFFSET($D102,1,$C102,ROW($C$223)-ROW($C102)),0))</f>
        <v>0</v>
      </c>
      <c r="L102" s="53">
        <f t="shared" si="10"/>
      </c>
      <c r="M102" s="54" t="s">
        <v>7</v>
      </c>
      <c r="N102" s="55" t="str">
        <f t="shared" si="11"/>
        <v>Serviço</v>
      </c>
      <c r="O102" s="56" t="s">
        <v>325</v>
      </c>
      <c r="P102" s="57" t="s">
        <v>68</v>
      </c>
      <c r="Q102" s="58" t="s">
        <v>82</v>
      </c>
      <c r="R102" s="59" t="s">
        <v>188</v>
      </c>
      <c r="S102" s="60" t="str">
        <f>REFERENCIA.Unidade</f>
        <v>-</v>
      </c>
      <c r="T102" s="61">
        <f aca="true" t="shared" si="44" ref="T102:T111">AJ102</f>
        <v>1</v>
      </c>
      <c r="U102" s="62"/>
      <c r="V102" s="63" t="s">
        <v>10</v>
      </c>
      <c r="W102" s="61">
        <f t="shared" si="35"/>
        <v>0</v>
      </c>
      <c r="X102" s="64">
        <f>IF($C102="S",VTOTAL1,IF($C102=0,0,ROUND(SomaAgrup,15-13*$AF$11)))</f>
        <v>0</v>
      </c>
      <c r="Y102" s="65" t="s">
        <v>63</v>
      </c>
      <c r="Z102">
        <f t="shared" si="13"/>
      </c>
      <c r="AA102" s="66">
        <f>IF($C102="S",IF($Z102="CP",$X102,IF($Z102="RA",(($X102)*'[1]QCI'!$AA$3),0)),SomaAgrup)</f>
        <v>0</v>
      </c>
      <c r="AB102" s="67">
        <f t="shared" si="36"/>
        <v>0</v>
      </c>
      <c r="AC102" s="68">
        <f t="shared" si="37"/>
      </c>
      <c r="AD102" s="8">
        <f ca="1">IF(C102&lt;=CRONO.NivelExibicao,MAX($AD$15:OFFSET(AD102,-1,0))+IF($C102&lt;&gt;1,1,MAX(1,COUNTIF('[1]QCI'!$A$13:$A$24,OFFSET($E102,-1,0)))),"")</f>
      </c>
      <c r="AE102" s="18" t="str">
        <f t="shared" si="38"/>
        <v>Composição 005</v>
      </c>
      <c r="AF102" s="69" t="e">
        <f ca="1" t="shared" si="39"/>
        <v>#VALUE!</v>
      </c>
      <c r="AG102" s="70">
        <v>144.64</v>
      </c>
      <c r="AH102" s="71">
        <f t="shared" si="40"/>
        <v>0.2282</v>
      </c>
      <c r="AJ102" s="72">
        <v>1</v>
      </c>
      <c r="AL102" s="73"/>
      <c r="AM102" s="74">
        <f t="shared" si="0"/>
        <v>0</v>
      </c>
      <c r="AN102" s="75">
        <f t="shared" si="41"/>
        <v>0</v>
      </c>
    </row>
    <row r="103" spans="1:40" ht="30">
      <c r="A103" t="str">
        <f t="shared" si="34"/>
        <v>S</v>
      </c>
      <c r="B103">
        <f ca="1" t="shared" si="2"/>
        <v>2</v>
      </c>
      <c r="C103" t="str">
        <f ca="1" t="shared" si="3"/>
        <v>S</v>
      </c>
      <c r="D103">
        <f t="shared" si="4"/>
        <v>0</v>
      </c>
      <c r="E103" t="e">
        <f ca="1">IF($C103=1,OFFSET(E103,-1,0)+MAX(1,COUNTIF('[1]QCI'!$A$13:$A$24,OFFSET('[1]ORÇAMENTO'!E101,-1,0))),OFFSET(E103,-1,0))</f>
        <v>#VALUE!</v>
      </c>
      <c r="F103">
        <f ca="1" t="shared" si="5"/>
        <v>3</v>
      </c>
      <c r="G103">
        <f ca="1" t="shared" si="6"/>
        <v>0</v>
      </c>
      <c r="H103">
        <f ca="1" t="shared" si="7"/>
        <v>0</v>
      </c>
      <c r="I103">
        <f ca="1" t="shared" si="8"/>
        <v>0</v>
      </c>
      <c r="J103">
        <f ca="1" t="shared" si="42"/>
        <v>0</v>
      </c>
      <c r="K103">
        <f ca="1">IF(OR($C103="S",$C103=0),0,MATCH(OFFSET($D103,0,$C103)+IF($C103&lt;&gt;1,1,COUNTIF('[1]QCI'!$A$13:$A$24,'[1]ORÇAMENTO'!E101)),OFFSET($D103,1,$C103,ROW($C$223)-ROW($C103)),0))</f>
        <v>0</v>
      </c>
      <c r="L103" s="53">
        <f t="shared" si="10"/>
      </c>
      <c r="M103" s="54" t="s">
        <v>7</v>
      </c>
      <c r="N103" s="55" t="str">
        <f t="shared" si="11"/>
        <v>Serviço</v>
      </c>
      <c r="O103" s="56" t="s">
        <v>326</v>
      </c>
      <c r="P103" s="57" t="s">
        <v>62</v>
      </c>
      <c r="Q103" s="58" t="s">
        <v>163</v>
      </c>
      <c r="R103" s="59" t="s">
        <v>169</v>
      </c>
      <c r="S103" s="60" t="s">
        <v>142</v>
      </c>
      <c r="T103" s="61">
        <f t="shared" si="44"/>
        <v>1</v>
      </c>
      <c r="U103" s="62"/>
      <c r="V103" s="63" t="s">
        <v>10</v>
      </c>
      <c r="W103" s="61">
        <f t="shared" si="35"/>
        <v>0</v>
      </c>
      <c r="X103" s="64">
        <f>IF($C103="S",VTOTAL1,IF($C103=0,0,ROUND(SomaAgrup,15-13*$AF$11)))</f>
        <v>0</v>
      </c>
      <c r="Y103" s="65" t="s">
        <v>63</v>
      </c>
      <c r="Z103">
        <f t="shared" si="13"/>
      </c>
      <c r="AA103" s="66">
        <f>IF($C103="S",IF($Z103="CP",$X103,IF($Z103="RA",(($X103)*'[1]QCI'!$AA$3),0)),SomaAgrup)</f>
        <v>0</v>
      </c>
      <c r="AB103" s="67">
        <f t="shared" si="36"/>
        <v>0</v>
      </c>
      <c r="AC103" s="68">
        <f t="shared" si="37"/>
      </c>
      <c r="AD103" s="8">
        <f ca="1">IF(C103&lt;=CRONO.NivelExibicao,MAX($AD$15:OFFSET(AD103,-1,0))+IF($C103&lt;&gt;1,1,MAX(1,COUNTIF('[1]QCI'!$A$13:$A$24,OFFSET($E103,-1,0)))),"")</f>
      </c>
      <c r="AE103" s="18" t="str">
        <f t="shared" si="38"/>
        <v>SINAPI  93665 </v>
      </c>
      <c r="AF103" s="69" t="e">
        <f ca="1" t="shared" si="39"/>
        <v>#VALUE!</v>
      </c>
      <c r="AG103" s="70">
        <v>71.01</v>
      </c>
      <c r="AH103" s="71">
        <f t="shared" si="40"/>
        <v>0.2282</v>
      </c>
      <c r="AJ103" s="72">
        <v>1</v>
      </c>
      <c r="AL103" s="73"/>
      <c r="AM103" s="74">
        <f t="shared" si="0"/>
        <v>0</v>
      </c>
      <c r="AN103" s="75">
        <f t="shared" si="41"/>
        <v>0</v>
      </c>
    </row>
    <row r="104" spans="1:40" ht="30">
      <c r="A104" t="str">
        <f t="shared" si="34"/>
        <v>S</v>
      </c>
      <c r="B104">
        <f ca="1" t="shared" si="2"/>
        <v>2</v>
      </c>
      <c r="C104" t="str">
        <f ca="1" t="shared" si="3"/>
        <v>S</v>
      </c>
      <c r="D104">
        <f t="shared" si="4"/>
        <v>0</v>
      </c>
      <c r="E104" t="e">
        <f ca="1">IF($C104=1,OFFSET(E104,-1,0)+MAX(1,COUNTIF('[1]QCI'!$A$13:$A$24,OFFSET('[1]ORÇAMENTO'!E102,-1,0))),OFFSET(E104,-1,0))</f>
        <v>#VALUE!</v>
      </c>
      <c r="F104">
        <f ca="1" t="shared" si="5"/>
        <v>3</v>
      </c>
      <c r="G104">
        <f ca="1" t="shared" si="6"/>
        <v>0</v>
      </c>
      <c r="H104">
        <f ca="1" t="shared" si="7"/>
        <v>0</v>
      </c>
      <c r="I104">
        <f ca="1" t="shared" si="8"/>
        <v>0</v>
      </c>
      <c r="J104">
        <f ca="1" t="shared" si="42"/>
        <v>0</v>
      </c>
      <c r="K104">
        <f ca="1">IF(OR($C104="S",$C104=0),0,MATCH(OFFSET($D104,0,$C104)+IF($C104&lt;&gt;1,1,COUNTIF('[1]QCI'!$A$13:$A$24,'[1]ORÇAMENTO'!E102)),OFFSET($D104,1,$C104,ROW($C$223)-ROW($C104)),0))</f>
        <v>0</v>
      </c>
      <c r="L104" s="53">
        <f t="shared" si="10"/>
      </c>
      <c r="M104" s="54" t="s">
        <v>7</v>
      </c>
      <c r="N104" s="55" t="str">
        <f t="shared" si="11"/>
        <v>Serviço</v>
      </c>
      <c r="O104" s="56" t="s">
        <v>327</v>
      </c>
      <c r="P104" s="57" t="s">
        <v>62</v>
      </c>
      <c r="Q104" s="58" t="s">
        <v>180</v>
      </c>
      <c r="R104" s="59" t="s">
        <v>184</v>
      </c>
      <c r="S104" s="60" t="s">
        <v>142</v>
      </c>
      <c r="T104" s="61">
        <f t="shared" si="44"/>
        <v>1</v>
      </c>
      <c r="U104" s="62"/>
      <c r="V104" s="63" t="s">
        <v>10</v>
      </c>
      <c r="W104" s="61">
        <f t="shared" si="35"/>
        <v>0</v>
      </c>
      <c r="X104" s="64">
        <f>IF($C104="S",VTOTAL1,IF($C104=0,0,ROUND(SomaAgrup,15-13*$AF$11)))</f>
        <v>0</v>
      </c>
      <c r="Y104" s="65" t="s">
        <v>63</v>
      </c>
      <c r="Z104">
        <f t="shared" si="13"/>
      </c>
      <c r="AA104" s="66">
        <f>IF($C104="S",IF($Z104="CP",$X104,IF($Z104="RA",(($X104)*'[1]QCI'!$AA$3),0)),SomaAgrup)</f>
        <v>0</v>
      </c>
      <c r="AB104" s="67">
        <f t="shared" si="36"/>
        <v>0</v>
      </c>
      <c r="AC104" s="68">
        <f t="shared" si="37"/>
      </c>
      <c r="AD104" s="8">
        <f ca="1">IF(C104&lt;=CRONO.NivelExibicao,MAX($AD$15:OFFSET(AD104,-1,0))+IF($C104&lt;&gt;1,1,MAX(1,COUNTIF('[1]QCI'!$A$13:$A$24,OFFSET($E104,-1,0)))),"")</f>
      </c>
      <c r="AE104" s="18" t="str">
        <f t="shared" si="38"/>
        <v>SINAPI  93653 </v>
      </c>
      <c r="AF104" s="69" t="e">
        <f ca="1" t="shared" si="39"/>
        <v>#VALUE!</v>
      </c>
      <c r="AG104" s="70">
        <v>12.37</v>
      </c>
      <c r="AH104" s="71">
        <f t="shared" si="40"/>
        <v>0.2282</v>
      </c>
      <c r="AJ104" s="72">
        <v>1</v>
      </c>
      <c r="AL104" s="73"/>
      <c r="AM104" s="74">
        <f t="shared" si="0"/>
        <v>0</v>
      </c>
      <c r="AN104" s="75">
        <f t="shared" si="41"/>
        <v>0</v>
      </c>
    </row>
    <row r="105" spans="1:40" ht="30">
      <c r="A105" t="str">
        <f t="shared" si="34"/>
        <v>S</v>
      </c>
      <c r="B105">
        <f ca="1" t="shared" si="2"/>
        <v>2</v>
      </c>
      <c r="C105" t="str">
        <f ca="1" t="shared" si="3"/>
        <v>S</v>
      </c>
      <c r="D105">
        <f t="shared" si="4"/>
        <v>0</v>
      </c>
      <c r="E105" t="e">
        <f ca="1">IF($C105=1,OFFSET(E105,-1,0)+MAX(1,COUNTIF('[1]QCI'!$A$13:$A$24,OFFSET('[1]ORÇAMENTO'!E103,-1,0))),OFFSET(E105,-1,0))</f>
        <v>#VALUE!</v>
      </c>
      <c r="F105">
        <f ca="1" t="shared" si="5"/>
        <v>3</v>
      </c>
      <c r="G105">
        <f ca="1" t="shared" si="6"/>
        <v>0</v>
      </c>
      <c r="H105">
        <f ca="1" t="shared" si="7"/>
        <v>0</v>
      </c>
      <c r="I105">
        <f ca="1" t="shared" si="8"/>
        <v>0</v>
      </c>
      <c r="J105">
        <f ca="1" t="shared" si="42"/>
        <v>0</v>
      </c>
      <c r="K105">
        <f ca="1">IF(OR($C105="S",$C105=0),0,MATCH(OFFSET($D105,0,$C105)+IF($C105&lt;&gt;1,1,COUNTIF('[1]QCI'!$A$13:$A$24,'[1]ORÇAMENTO'!E103)),OFFSET($D105,1,$C105,ROW($C$223)-ROW($C105)),0))</f>
        <v>0</v>
      </c>
      <c r="L105" s="53">
        <f t="shared" si="10"/>
      </c>
      <c r="M105" s="54" t="s">
        <v>7</v>
      </c>
      <c r="N105" s="55" t="str">
        <f t="shared" si="11"/>
        <v>Serviço</v>
      </c>
      <c r="O105" s="56" t="s">
        <v>328</v>
      </c>
      <c r="P105" s="57" t="s">
        <v>62</v>
      </c>
      <c r="Q105" s="58" t="s">
        <v>164</v>
      </c>
      <c r="R105" s="59" t="s">
        <v>170</v>
      </c>
      <c r="S105" s="60" t="s">
        <v>142</v>
      </c>
      <c r="T105" s="61">
        <f t="shared" si="44"/>
        <v>1</v>
      </c>
      <c r="U105" s="62"/>
      <c r="V105" s="63" t="s">
        <v>10</v>
      </c>
      <c r="W105" s="61">
        <f t="shared" si="35"/>
        <v>0</v>
      </c>
      <c r="X105" s="64">
        <f>IF($C105="S",VTOTAL1,IF($C105=0,0,ROUND(SomaAgrup,15-13*$AF$11)))</f>
        <v>0</v>
      </c>
      <c r="Y105" s="65" t="s">
        <v>63</v>
      </c>
      <c r="Z105">
        <f t="shared" si="13"/>
      </c>
      <c r="AA105" s="66">
        <f>IF($C105="S",IF($Z105="CP",$X105,IF($Z105="RA",(($X105)*'[1]QCI'!$AA$3),0)),SomaAgrup)</f>
        <v>0</v>
      </c>
      <c r="AB105" s="67">
        <f t="shared" si="36"/>
        <v>0</v>
      </c>
      <c r="AC105" s="68">
        <f t="shared" si="37"/>
      </c>
      <c r="AD105" s="8">
        <f ca="1">IF(C105&lt;=CRONO.NivelExibicao,MAX($AD$15:OFFSET(AD105,-1,0))+IF($C105&lt;&gt;1,1,MAX(1,COUNTIF('[1]QCI'!$A$13:$A$24,OFFSET($E105,-1,0)))),"")</f>
      </c>
      <c r="AE105" s="18" t="str">
        <f t="shared" si="38"/>
        <v>SINAPI  93655 </v>
      </c>
      <c r="AF105" s="69" t="e">
        <f ca="1" t="shared" si="39"/>
        <v>#VALUE!</v>
      </c>
      <c r="AG105" s="70">
        <v>14.19</v>
      </c>
      <c r="AH105" s="71">
        <f t="shared" si="40"/>
        <v>0.2282</v>
      </c>
      <c r="AJ105" s="72">
        <v>1</v>
      </c>
      <c r="AL105" s="73"/>
      <c r="AM105" s="74">
        <f t="shared" si="0"/>
        <v>0</v>
      </c>
      <c r="AN105" s="75">
        <f t="shared" si="41"/>
        <v>0</v>
      </c>
    </row>
    <row r="106" spans="1:40" ht="30">
      <c r="A106" t="str">
        <f t="shared" si="34"/>
        <v>S</v>
      </c>
      <c r="B106">
        <f ca="1" t="shared" si="2"/>
        <v>2</v>
      </c>
      <c r="C106" t="str">
        <f ca="1" t="shared" si="3"/>
        <v>S</v>
      </c>
      <c r="D106">
        <f t="shared" si="4"/>
        <v>0</v>
      </c>
      <c r="E106" t="e">
        <f ca="1">IF($C106=1,OFFSET(E106,-1,0)+MAX(1,COUNTIF('[1]QCI'!$A$13:$A$24,OFFSET('[1]ORÇAMENTO'!E104,-1,0))),OFFSET(E106,-1,0))</f>
        <v>#VALUE!</v>
      </c>
      <c r="F106">
        <f ca="1" t="shared" si="5"/>
        <v>3</v>
      </c>
      <c r="G106">
        <f ca="1" t="shared" si="6"/>
        <v>0</v>
      </c>
      <c r="H106">
        <f ca="1" t="shared" si="7"/>
        <v>0</v>
      </c>
      <c r="I106">
        <f ca="1" t="shared" si="8"/>
        <v>0</v>
      </c>
      <c r="J106">
        <f ca="1" t="shared" si="42"/>
        <v>0</v>
      </c>
      <c r="K106">
        <f ca="1">IF(OR($C106="S",$C106=0),0,MATCH(OFFSET($D106,0,$C106)+IF($C106&lt;&gt;1,1,COUNTIF('[1]QCI'!$A$13:$A$24,'[1]ORÇAMENTO'!E104)),OFFSET($D106,1,$C106,ROW($C$223)-ROW($C106)),0))</f>
        <v>0</v>
      </c>
      <c r="L106" s="53">
        <f t="shared" si="10"/>
      </c>
      <c r="M106" s="54" t="s">
        <v>7</v>
      </c>
      <c r="N106" s="55" t="str">
        <f t="shared" si="11"/>
        <v>Serviço</v>
      </c>
      <c r="O106" s="56" t="s">
        <v>329</v>
      </c>
      <c r="P106" s="57" t="s">
        <v>62</v>
      </c>
      <c r="Q106" s="58" t="s">
        <v>181</v>
      </c>
      <c r="R106" s="59" t="s">
        <v>185</v>
      </c>
      <c r="S106" s="60" t="s">
        <v>142</v>
      </c>
      <c r="T106" s="61">
        <f t="shared" si="44"/>
        <v>1</v>
      </c>
      <c r="U106" s="62"/>
      <c r="V106" s="63" t="s">
        <v>10</v>
      </c>
      <c r="W106" s="61">
        <f t="shared" si="35"/>
        <v>0</v>
      </c>
      <c r="X106" s="64">
        <f>IF($C106="S",VTOTAL1,IF($C106=0,0,ROUND(SomaAgrup,15-13*$AF$11)))</f>
        <v>0</v>
      </c>
      <c r="Y106" s="65" t="s">
        <v>63</v>
      </c>
      <c r="Z106">
        <f t="shared" si="13"/>
      </c>
      <c r="AA106" s="66">
        <f>IF($C106="S",IF($Z106="CP",$X106,IF($Z106="RA",(($X106)*'[1]QCI'!$AA$3),0)),SomaAgrup)</f>
        <v>0</v>
      </c>
      <c r="AB106" s="67">
        <f t="shared" si="36"/>
        <v>0</v>
      </c>
      <c r="AC106" s="68">
        <f t="shared" si="37"/>
      </c>
      <c r="AD106" s="8">
        <f ca="1">IF(C106&lt;=CRONO.NivelExibicao,MAX($AD$15:OFFSET(AD106,-1,0))+IF($C106&lt;&gt;1,1,MAX(1,COUNTIF('[1]QCI'!$A$13:$A$24,OFFSET($E106,-1,0)))),"")</f>
      </c>
      <c r="AE106" s="18" t="str">
        <f t="shared" si="38"/>
        <v>SINAPI  93662 </v>
      </c>
      <c r="AF106" s="69" t="e">
        <f ca="1" t="shared" si="39"/>
        <v>#VALUE!</v>
      </c>
      <c r="AG106" s="70">
        <v>64.39</v>
      </c>
      <c r="AH106" s="71">
        <f t="shared" si="40"/>
        <v>0.2282</v>
      </c>
      <c r="AJ106" s="72">
        <v>1</v>
      </c>
      <c r="AL106" s="73"/>
      <c r="AM106" s="74">
        <f t="shared" si="0"/>
        <v>0</v>
      </c>
      <c r="AN106" s="75">
        <f t="shared" si="41"/>
        <v>0</v>
      </c>
    </row>
    <row r="107" spans="1:40" ht="45">
      <c r="A107" t="str">
        <f t="shared" si="34"/>
        <v>S</v>
      </c>
      <c r="B107">
        <f ca="1" t="shared" si="2"/>
        <v>2</v>
      </c>
      <c r="C107" t="str">
        <f ca="1" t="shared" si="3"/>
        <v>S</v>
      </c>
      <c r="D107">
        <f t="shared" si="4"/>
        <v>0</v>
      </c>
      <c r="E107" t="e">
        <f ca="1">IF($C107=1,OFFSET(E107,-1,0)+MAX(1,COUNTIF('[1]QCI'!$A$13:$A$24,OFFSET('[1]ORÇAMENTO'!E105,-1,0))),OFFSET(E107,-1,0))</f>
        <v>#VALUE!</v>
      </c>
      <c r="F107">
        <f ca="1" t="shared" si="5"/>
        <v>3</v>
      </c>
      <c r="G107">
        <f ca="1" t="shared" si="6"/>
        <v>0</v>
      </c>
      <c r="H107">
        <f ca="1" t="shared" si="7"/>
        <v>0</v>
      </c>
      <c r="I107">
        <f ca="1" t="shared" si="8"/>
        <v>0</v>
      </c>
      <c r="J107">
        <f ca="1" t="shared" si="42"/>
        <v>0</v>
      </c>
      <c r="K107">
        <f ca="1">IF(OR($C107="S",$C107=0),0,MATCH(OFFSET($D107,0,$C107)+IF($C107&lt;&gt;1,1,COUNTIF('[1]QCI'!$A$13:$A$24,'[1]ORÇAMENTO'!E105)),OFFSET($D107,1,$C107,ROW($C$223)-ROW($C107)),0))</f>
        <v>0</v>
      </c>
      <c r="L107" s="53">
        <f t="shared" si="10"/>
      </c>
      <c r="M107" s="54" t="s">
        <v>7</v>
      </c>
      <c r="N107" s="55" t="str">
        <f t="shared" si="11"/>
        <v>Serviço</v>
      </c>
      <c r="O107" s="56" t="s">
        <v>330</v>
      </c>
      <c r="P107" s="57" t="s">
        <v>62</v>
      </c>
      <c r="Q107" s="58" t="s">
        <v>182</v>
      </c>
      <c r="R107" s="59" t="s">
        <v>186</v>
      </c>
      <c r="S107" s="60" t="s">
        <v>142</v>
      </c>
      <c r="T107" s="61">
        <f t="shared" si="44"/>
        <v>1</v>
      </c>
      <c r="U107" s="62"/>
      <c r="V107" s="63" t="s">
        <v>10</v>
      </c>
      <c r="W107" s="61">
        <f t="shared" si="35"/>
        <v>0</v>
      </c>
      <c r="X107" s="64">
        <f>IF($C107="S",VTOTAL1,IF($C107=0,0,ROUND(SomaAgrup,15-13*$AF$11)))</f>
        <v>0</v>
      </c>
      <c r="Y107" s="65" t="s">
        <v>63</v>
      </c>
      <c r="Z107">
        <f t="shared" si="13"/>
      </c>
      <c r="AA107" s="66">
        <f>IF($C107="S",IF($Z107="CP",$X107,IF($Z107="RA",(($X107)*'[1]QCI'!$AA$3),0)),SomaAgrup)</f>
        <v>0</v>
      </c>
      <c r="AB107" s="67">
        <f t="shared" si="36"/>
        <v>0</v>
      </c>
      <c r="AC107" s="68">
        <f t="shared" si="37"/>
      </c>
      <c r="AD107" s="8">
        <f ca="1">IF(C107&lt;=CRONO.NivelExibicao,MAX($AD$15:OFFSET(AD107,-1,0))+IF($C107&lt;&gt;1,1,MAX(1,COUNTIF('[1]QCI'!$A$13:$A$24,OFFSET($E107,-1,0)))),"")</f>
      </c>
      <c r="AE107" s="18" t="str">
        <f t="shared" si="38"/>
        <v>SINAPI  93143 </v>
      </c>
      <c r="AF107" s="69" t="e">
        <f ca="1" t="shared" si="39"/>
        <v>#VALUE!</v>
      </c>
      <c r="AG107" s="70">
        <v>179.36</v>
      </c>
      <c r="AH107" s="71">
        <f t="shared" si="40"/>
        <v>0.2282</v>
      </c>
      <c r="AJ107" s="72">
        <v>1</v>
      </c>
      <c r="AL107" s="73"/>
      <c r="AM107" s="74">
        <f t="shared" si="0"/>
        <v>0</v>
      </c>
      <c r="AN107" s="75">
        <f t="shared" si="41"/>
        <v>0</v>
      </c>
    </row>
    <row r="108" spans="1:40" ht="60">
      <c r="A108" t="str">
        <f t="shared" si="34"/>
        <v>S</v>
      </c>
      <c r="B108">
        <f ca="1" t="shared" si="2"/>
        <v>2</v>
      </c>
      <c r="C108" t="str">
        <f ca="1" t="shared" si="3"/>
        <v>S</v>
      </c>
      <c r="D108">
        <f t="shared" si="4"/>
        <v>0</v>
      </c>
      <c r="E108" t="e">
        <f ca="1">IF($C108=1,OFFSET(E108,-1,0)+MAX(1,COUNTIF('[1]QCI'!$A$13:$A$24,OFFSET('[1]ORÇAMENTO'!E106,-1,0))),OFFSET(E108,-1,0))</f>
        <v>#VALUE!</v>
      </c>
      <c r="F108">
        <f ca="1" t="shared" si="5"/>
        <v>3</v>
      </c>
      <c r="G108">
        <f ca="1" t="shared" si="6"/>
        <v>0</v>
      </c>
      <c r="H108">
        <f ca="1" t="shared" si="7"/>
        <v>0</v>
      </c>
      <c r="I108">
        <f ca="1" t="shared" si="8"/>
        <v>0</v>
      </c>
      <c r="J108">
        <f ca="1" t="shared" si="42"/>
        <v>0</v>
      </c>
      <c r="K108">
        <f ca="1">IF(OR($C108="S",$C108=0),0,MATCH(OFFSET($D108,0,$C108)+IF($C108&lt;&gt;1,1,COUNTIF('[1]QCI'!$A$13:$A$24,'[1]ORÇAMENTO'!E106)),OFFSET($D108,1,$C108,ROW($C$223)-ROW($C108)),0))</f>
        <v>0</v>
      </c>
      <c r="L108" s="53">
        <f t="shared" si="10"/>
      </c>
      <c r="M108" s="54" t="s">
        <v>7</v>
      </c>
      <c r="N108" s="55" t="str">
        <f t="shared" si="11"/>
        <v>Serviço</v>
      </c>
      <c r="O108" s="56" t="s">
        <v>331</v>
      </c>
      <c r="P108" s="57" t="s">
        <v>62</v>
      </c>
      <c r="Q108" s="58" t="s">
        <v>165</v>
      </c>
      <c r="R108" s="59" t="s">
        <v>171</v>
      </c>
      <c r="S108" s="60" t="s">
        <v>142</v>
      </c>
      <c r="T108" s="61">
        <f t="shared" si="44"/>
        <v>2</v>
      </c>
      <c r="U108" s="62"/>
      <c r="V108" s="63" t="s">
        <v>10</v>
      </c>
      <c r="W108" s="61">
        <f t="shared" si="35"/>
        <v>0</v>
      </c>
      <c r="X108" s="64">
        <f>IF($C108="S",VTOTAL1,IF($C108=0,0,ROUND(SomaAgrup,15-13*$AF$11)))</f>
        <v>0</v>
      </c>
      <c r="Y108" s="65" t="s">
        <v>63</v>
      </c>
      <c r="Z108">
        <f t="shared" si="13"/>
      </c>
      <c r="AA108" s="66">
        <f>IF($C108="S",IF($Z108="CP",$X108,IF($Z108="RA",(($X108)*'[1]QCI'!$AA$3),0)),SomaAgrup)</f>
        <v>0</v>
      </c>
      <c r="AB108" s="67">
        <f t="shared" si="36"/>
        <v>0</v>
      </c>
      <c r="AC108" s="68">
        <f t="shared" si="37"/>
      </c>
      <c r="AD108" s="8">
        <f ca="1">IF(C108&lt;=CRONO.NivelExibicao,MAX($AD$15:OFFSET(AD108,-1,0))+IF($C108&lt;&gt;1,1,MAX(1,COUNTIF('[1]QCI'!$A$13:$A$24,OFFSET($E108,-1,0)))),"")</f>
      </c>
      <c r="AE108" s="18" t="str">
        <f t="shared" si="38"/>
        <v>SINAPI  93145 </v>
      </c>
      <c r="AF108" s="69" t="e">
        <f ca="1" t="shared" si="39"/>
        <v>#VALUE!</v>
      </c>
      <c r="AG108" s="70">
        <v>214.61</v>
      </c>
      <c r="AH108" s="71">
        <f t="shared" si="40"/>
        <v>0.2282</v>
      </c>
      <c r="AJ108" s="72">
        <v>2</v>
      </c>
      <c r="AL108" s="73"/>
      <c r="AM108" s="74">
        <f t="shared" si="0"/>
        <v>0</v>
      </c>
      <c r="AN108" s="75">
        <f t="shared" si="41"/>
        <v>0</v>
      </c>
    </row>
    <row r="109" spans="1:40" ht="60">
      <c r="A109" t="str">
        <f t="shared" si="34"/>
        <v>S</v>
      </c>
      <c r="B109">
        <f ca="1" t="shared" si="2"/>
        <v>2</v>
      </c>
      <c r="C109" t="str">
        <f ca="1" t="shared" si="3"/>
        <v>S</v>
      </c>
      <c r="D109">
        <f t="shared" si="4"/>
        <v>0</v>
      </c>
      <c r="E109" t="e">
        <f ca="1">IF($C109=1,OFFSET(E109,-1,0)+MAX(1,COUNTIF('[1]QCI'!$A$13:$A$24,OFFSET('[1]ORÇAMENTO'!E107,-1,0))),OFFSET(E109,-1,0))</f>
        <v>#VALUE!</v>
      </c>
      <c r="F109">
        <f ca="1" t="shared" si="5"/>
        <v>3</v>
      </c>
      <c r="G109">
        <f ca="1" t="shared" si="6"/>
        <v>0</v>
      </c>
      <c r="H109">
        <f ca="1" t="shared" si="7"/>
        <v>0</v>
      </c>
      <c r="I109">
        <f ca="1" t="shared" si="8"/>
        <v>0</v>
      </c>
      <c r="J109">
        <f ca="1" t="shared" si="42"/>
        <v>0</v>
      </c>
      <c r="K109">
        <f ca="1">IF(OR($C109="S",$C109=0),0,MATCH(OFFSET($D109,0,$C109)+IF($C109&lt;&gt;1,1,COUNTIF('[1]QCI'!$A$13:$A$24,'[1]ORÇAMENTO'!E107)),OFFSET($D109,1,$C109,ROW($C$223)-ROW($C109)),0))</f>
        <v>0</v>
      </c>
      <c r="L109" s="53">
        <f t="shared" si="10"/>
      </c>
      <c r="M109" s="54" t="s">
        <v>7</v>
      </c>
      <c r="N109" s="55" t="str">
        <f t="shared" si="11"/>
        <v>Serviço</v>
      </c>
      <c r="O109" s="56" t="s">
        <v>332</v>
      </c>
      <c r="P109" s="57" t="s">
        <v>62</v>
      </c>
      <c r="Q109" s="58" t="s">
        <v>183</v>
      </c>
      <c r="R109" s="59" t="s">
        <v>187</v>
      </c>
      <c r="S109" s="60" t="s">
        <v>142</v>
      </c>
      <c r="T109" s="61">
        <f t="shared" si="44"/>
        <v>1</v>
      </c>
      <c r="U109" s="62"/>
      <c r="V109" s="63" t="s">
        <v>10</v>
      </c>
      <c r="W109" s="61">
        <f t="shared" si="35"/>
        <v>0</v>
      </c>
      <c r="X109" s="64">
        <f>IF($C109="S",VTOTAL1,IF($C109=0,0,ROUND(SomaAgrup,15-13*$AF$11)))</f>
        <v>0</v>
      </c>
      <c r="Y109" s="65" t="s">
        <v>63</v>
      </c>
      <c r="Z109">
        <f t="shared" si="13"/>
      </c>
      <c r="AA109" s="66">
        <f>IF($C109="S",IF($Z109="CP",$X109,IF($Z109="RA",(($X109)*'[1]QCI'!$AA$3),0)),SomaAgrup)</f>
        <v>0</v>
      </c>
      <c r="AB109" s="67">
        <f t="shared" si="36"/>
        <v>0</v>
      </c>
      <c r="AC109" s="68">
        <f t="shared" si="37"/>
      </c>
      <c r="AD109" s="8">
        <f ca="1">IF(C109&lt;=CRONO.NivelExibicao,MAX($AD$15:OFFSET(AD109,-1,0))+IF($C109&lt;&gt;1,1,MAX(1,COUNTIF('[1]QCI'!$A$13:$A$24,OFFSET($E109,-1,0)))),"")</f>
      </c>
      <c r="AE109" s="18" t="str">
        <f t="shared" si="38"/>
        <v>SINAPI  93137 </v>
      </c>
      <c r="AF109" s="69" t="e">
        <f ca="1" t="shared" si="39"/>
        <v>#VALUE!</v>
      </c>
      <c r="AG109" s="70">
        <v>171.58</v>
      </c>
      <c r="AH109" s="71">
        <f t="shared" si="40"/>
        <v>0.2282</v>
      </c>
      <c r="AJ109" s="72">
        <v>1</v>
      </c>
      <c r="AL109" s="73"/>
      <c r="AM109" s="74">
        <f t="shared" si="0"/>
        <v>0</v>
      </c>
      <c r="AN109" s="75">
        <f t="shared" si="41"/>
        <v>0</v>
      </c>
    </row>
    <row r="110" spans="1:40" ht="45">
      <c r="A110" t="str">
        <f>CHOOSE(1+LOG(1+2*(ORÇAMENTO.Nivel="Meta")+4*(ORÇAMENTO.Nivel="Nível 2")+8*(ORÇAMENTO.Nivel="Nível 3")+16*(ORÇAMENTO.Nivel="Nível 4")+32*(ORÇAMENTO.Nivel="Serviço"),2),0,1,2,3,4,"S")</f>
        <v>S</v>
      </c>
      <c r="B110">
        <f ca="1">IF(OR(C110="s",C110=0),OFFSET(B110,-1,0),C110)</f>
        <v>2</v>
      </c>
      <c r="C110" t="str">
        <f ca="1">IF(OFFSET(C110,-1,0)="L",1,IF(OFFSET(C110,-1,0)=1,2,IF(OR(A110="s",A110=0),"S",IF(AND(OFFSET(C110,-1,0)=2,A110=4),3,IF(AND(OR(OFFSET(C110,-1,0)="s",OFFSET(C110,-1,0)=0),A110&lt;&gt;"s",A110&gt;OFFSET(B110,-1,0)),OFFSET(B110,-1,0),A110)))))</f>
        <v>S</v>
      </c>
      <c r="D110">
        <f>IF(OR(C110="S",C110=0),0,IF(ISERROR(K110),J110,SMALL(J110:K110,1)))</f>
        <v>0</v>
      </c>
      <c r="E110" t="e">
        <f ca="1">IF($C110=1,OFFSET(E110,-1,0)+MAX(1,COUNTIF('[1]QCI'!$A$13:$A$24,OFFSET('[1]ORÇAMENTO'!E108,-1,0))),OFFSET(E110,-1,0))</f>
        <v>#VALUE!</v>
      </c>
      <c r="F110">
        <f ca="1">IF($C110=1,0,IF($C110=2,OFFSET(F110,-1,0)+1,OFFSET(F110,-1,0)))</f>
        <v>3</v>
      </c>
      <c r="G110">
        <f ca="1">IF(AND($C110&lt;=2,$C110&lt;&gt;0),0,IF($C110=3,OFFSET(G110,-1,0)+1,OFFSET(G110,-1,0)))</f>
        <v>0</v>
      </c>
      <c r="H110">
        <f ca="1">IF(AND($C110&lt;=3,$C110&lt;&gt;0),0,IF($C110=4,OFFSET(H110,-1,0)+1,OFFSET(H110,-1,0)))</f>
        <v>0</v>
      </c>
      <c r="I110">
        <f ca="1">IF(AND($C110&lt;=4,$C110&lt;&gt;0),0,IF(AND($C110="S",$X110&gt;0),OFFSET(I110,-1,0)+1,OFFSET(I110,-1,0)))</f>
        <v>0</v>
      </c>
      <c r="J110">
        <f ca="1" t="shared" si="42"/>
        <v>0</v>
      </c>
      <c r="K110">
        <f ca="1">IF(OR($C110="S",$C110=0),0,MATCH(OFFSET($D110,0,$C110)+IF($C110&lt;&gt;1,1,COUNTIF('[1]QCI'!$A$13:$A$24,'[1]ORÇAMENTO'!E108)),OFFSET($D110,1,$C110,ROW($C$223)-ROW($C110)),0))</f>
        <v>0</v>
      </c>
      <c r="L110" s="53">
        <f>IF(OR($X110&gt;0,$C110=1,$C110=2,$C110=3,$C110=4),"F","")</f>
      </c>
      <c r="M110" s="54" t="s">
        <v>7</v>
      </c>
      <c r="N110" s="55" t="str">
        <f>CHOOSE(1+LOG(1+2*(C110=1)+4*(C110=2)+8*(C110=3)+16*(C110=4)+32*(C110="S"),2),"","Meta","Nível 2","Nível 3","Nível 4","Serviço")</f>
        <v>Serviço</v>
      </c>
      <c r="O110" s="56" t="s">
        <v>333</v>
      </c>
      <c r="P110" s="57" t="s">
        <v>62</v>
      </c>
      <c r="Q110" s="58" t="s">
        <v>167</v>
      </c>
      <c r="R110" s="59" t="s">
        <v>173</v>
      </c>
      <c r="S110" s="60" t="s">
        <v>142</v>
      </c>
      <c r="T110" s="61">
        <f t="shared" si="44"/>
        <v>5</v>
      </c>
      <c r="U110" s="62"/>
      <c r="V110" s="63" t="s">
        <v>10</v>
      </c>
      <c r="W110" s="61">
        <f>IF($C110="S",ROUND(IF(TIPOORCAMENTO="Proposto",ORÇAMENTO.CustoUnitario*(1+$AH110),ORÇAMENTO.PrecoUnitarioLicitado),15-13*$AF$10),0)</f>
        <v>0</v>
      </c>
      <c r="X110" s="64">
        <f>IF($C110="S",VTOTAL1,IF($C110=0,0,ROUND(SomaAgrup,15-13*$AF$11)))</f>
        <v>0</v>
      </c>
      <c r="Y110" s="65" t="s">
        <v>63</v>
      </c>
      <c r="Z110">
        <f>IF(AND($C110="S",$X110&gt;0),IF(ISBLANK($Y110),"RA",LEFT($Y110,2)),"")</f>
      </c>
      <c r="AA110" s="66">
        <f>IF($C110="S",IF($Z110="CP",$X110,IF($Z110="RA",(($X110)*'[1]QCI'!$AA$3),0)),SomaAgrup)</f>
        <v>0</v>
      </c>
      <c r="AB110" s="67">
        <f>IF($C110="S",IF($Z110="OU",ROUND($X110,2),0),SomaAgrup)</f>
        <v>0</v>
      </c>
      <c r="AC110" s="68">
        <f>IF($N110="","",IF(ORÇAMENTO.Descricao="","DESCRIÇÃO",IF(AND($C110="S",ORÇAMENTO.Unidade=""),"UNIDADE",IF($X110&lt;0,"VALOR NEGATIVO",IF(OR(AND(TIPOORCAMENTO="Proposto",$AG110&lt;&gt;"",$AG110&gt;0,ORÇAMENTO.CustoUnitario&gt;$AG110),AND(TIPOORCAMENTO="LICITADO",ORÇAMENTO.PrecoUnitarioLicitado&gt;$AN110)),"ACIMA REF.","")))))</f>
      </c>
      <c r="AD110" s="8">
        <f ca="1">IF(C110&lt;=CRONO.NivelExibicao,MAX($AD$15:OFFSET(AD110,-1,0))+IF($C110&lt;&gt;1,1,MAX(1,COUNTIF('[1]QCI'!$A$13:$A$24,OFFSET($E110,-1,0)))),"")</f>
      </c>
      <c r="AE110" s="18" t="str">
        <f>IF(AND($C110="S",ORÇAMENTO.CodBarra&lt;&gt;""),IF(ORÇAMENTO.Fonte="",ORÇAMENTO.CodBarra,CONCATENATE(ORÇAMENTO.Fonte," ",ORÇAMENTO.CodBarra)))</f>
        <v>SINAPI  93142 </v>
      </c>
      <c r="AF110" s="69" t="e">
        <f ca="1">IF(ISERROR(INDIRECT(ORÇAMENTO.BancoRef)),"(abra o arquivo 'Referência "&amp;Excel_BuiltIn_Database&amp;".xls)",IF(OR($C110&lt;&gt;"S",ORÇAMENTO.CodBarra=""),"(Sem Código)",IF(ISERROR(MATCH($AE110,INDIRECT(ORÇAMENTO.BancoRef),0)),"(Código não identificado nas referências)",MATCH($AE110,INDIRECT(ORÇAMENTO.BancoRef),0))))</f>
        <v>#VALUE!</v>
      </c>
      <c r="AG110" s="70">
        <v>196.8</v>
      </c>
      <c r="AH110" s="71">
        <f>ROUND(IF(ISNUMBER(ORÇAMENTO.OpcaoBDI),ORÇAMENTO.OpcaoBDI,IF(LEFT(ORÇAMENTO.OpcaoBDI,3)="BDI",HLOOKUP(ORÇAMENTO.OpcaoBDI,$F$4:$H$5,2,FALSE),0)),15-11*$AF$9)</f>
        <v>0.2282</v>
      </c>
      <c r="AJ110" s="72">
        <v>5</v>
      </c>
      <c r="AL110" s="73"/>
      <c r="AM110" s="74">
        <f t="shared" si="0"/>
        <v>0</v>
      </c>
      <c r="AN110" s="75">
        <f>ROUND(ORÇAMENTO.CustoUnitario*(1+$AH110),2)</f>
        <v>0</v>
      </c>
    </row>
    <row r="111" spans="1:40" ht="30">
      <c r="A111" t="str">
        <f>CHOOSE(1+LOG(1+2*(ORÇAMENTO.Nivel="Meta")+4*(ORÇAMENTO.Nivel="Nível 2")+8*(ORÇAMENTO.Nivel="Nível 3")+16*(ORÇAMENTO.Nivel="Nível 4")+32*(ORÇAMENTO.Nivel="Serviço"),2),0,1,2,3,4,"S")</f>
        <v>S</v>
      </c>
      <c r="B111">
        <f ca="1">IF(OR(C111="s",C111=0),OFFSET(B111,-1,0),C111)</f>
        <v>2</v>
      </c>
      <c r="C111" t="str">
        <f ca="1">IF(OFFSET(C111,-1,0)="L",1,IF(OFFSET(C111,-1,0)=1,2,IF(OR(A111="s",A111=0),"S",IF(AND(OFFSET(C111,-1,0)=2,A111=4),3,IF(AND(OR(OFFSET(C111,-1,0)="s",OFFSET(C111,-1,0)=0),A111&lt;&gt;"s",A111&gt;OFFSET(B111,-1,0)),OFFSET(B111,-1,0),A111)))))</f>
        <v>S</v>
      </c>
      <c r="D111">
        <f>IF(OR(C111="S",C111=0),0,IF(ISERROR(K111),J111,SMALL(J111:K111,1)))</f>
        <v>0</v>
      </c>
      <c r="E111" t="e">
        <f ca="1">IF($C111=1,OFFSET(E111,-1,0)+MAX(1,COUNTIF('[1]QCI'!$A$13:$A$24,OFFSET('[1]ORÇAMENTO'!E109,-1,0))),OFFSET(E111,-1,0))</f>
        <v>#VALUE!</v>
      </c>
      <c r="F111">
        <f ca="1">IF($C111=1,0,IF($C111=2,OFFSET(F111,-1,0)+1,OFFSET(F111,-1,0)))</f>
        <v>3</v>
      </c>
      <c r="G111">
        <f ca="1">IF(AND($C111&lt;=2,$C111&lt;&gt;0),0,IF($C111=3,OFFSET(G111,-1,0)+1,OFFSET(G111,-1,0)))</f>
        <v>0</v>
      </c>
      <c r="H111">
        <f ca="1">IF(AND($C111&lt;=3,$C111&lt;&gt;0),0,IF($C111=4,OFFSET(H111,-1,0)+1,OFFSET(H111,-1,0)))</f>
        <v>0</v>
      </c>
      <c r="I111">
        <f ca="1">IF(AND($C111&lt;=4,$C111&lt;&gt;0),0,IF(AND($C111="S",$X111&gt;0),OFFSET(I111,-1,0)+1,OFFSET(I111,-1,0)))</f>
        <v>0</v>
      </c>
      <c r="J111">
        <f ca="1" t="shared" si="42"/>
        <v>0</v>
      </c>
      <c r="K111">
        <f ca="1">IF(OR($C111="S",$C111=0),0,MATCH(OFFSET($D111,0,$C111)+IF($C111&lt;&gt;1,1,COUNTIF('[1]QCI'!$A$13:$A$24,'[1]ORÇAMENTO'!E109)),OFFSET($D111,1,$C111,ROW($C$223)-ROW($C111)),0))</f>
        <v>0</v>
      </c>
      <c r="L111" s="53">
        <f>IF(OR($X111&gt;0,$C111=1,$C111=2,$C111=3,$C111=4),"F","")</f>
      </c>
      <c r="M111" s="54" t="s">
        <v>7</v>
      </c>
      <c r="N111" s="55" t="str">
        <f>CHOOSE(1+LOG(1+2*(C111=1)+4*(C111=2)+8*(C111=3)+16*(C111=4)+32*(C111="S"),2),"","Meta","Nível 2","Nível 3","Nível 4","Serviço")</f>
        <v>Serviço</v>
      </c>
      <c r="O111" s="56" t="s">
        <v>334</v>
      </c>
      <c r="P111" s="57" t="s">
        <v>62</v>
      </c>
      <c r="Q111" s="58" t="s">
        <v>166</v>
      </c>
      <c r="R111" s="59" t="s">
        <v>172</v>
      </c>
      <c r="S111" s="60" t="s">
        <v>142</v>
      </c>
      <c r="T111" s="61">
        <f t="shared" si="44"/>
        <v>5</v>
      </c>
      <c r="U111" s="62"/>
      <c r="V111" s="63" t="s">
        <v>10</v>
      </c>
      <c r="W111" s="61">
        <f>IF($C111="S",ROUND(IF(TIPOORCAMENTO="Proposto",ORÇAMENTO.CustoUnitario*(1+$AH111),ORÇAMENTO.PrecoUnitarioLicitado),15-13*$AF$10),0)</f>
        <v>0</v>
      </c>
      <c r="X111" s="64">
        <f>IF($C111="S",VTOTAL1,IF($C111=0,0,ROUND(SomaAgrup,15-13*$AF$11)))</f>
        <v>0</v>
      </c>
      <c r="Y111" s="65" t="s">
        <v>63</v>
      </c>
      <c r="Z111">
        <f>IF(AND($C111="S",$X111&gt;0),IF(ISBLANK($Y111),"RA",LEFT($Y111,2)),"")</f>
      </c>
      <c r="AA111" s="66">
        <f>IF($C111="S",IF($Z111="CP",$X111,IF($Z111="RA",(($X111)*'[1]QCI'!$AA$3),0)),SomaAgrup)</f>
        <v>0</v>
      </c>
      <c r="AB111" s="67">
        <f>IF($C111="S",IF($Z111="OU",ROUND($X111,2),0),SomaAgrup)</f>
        <v>0</v>
      </c>
      <c r="AC111" s="68">
        <f>IF($N111="","",IF(ORÇAMENTO.Descricao="","DESCRIÇÃO",IF(AND($C111="S",ORÇAMENTO.Unidade=""),"UNIDADE",IF($X111&lt;0,"VALOR NEGATIVO",IF(OR(AND(TIPOORCAMENTO="Proposto",$AG111&lt;&gt;"",$AG111&gt;0,ORÇAMENTO.CustoUnitario&gt;$AG111),AND(TIPOORCAMENTO="LICITADO",ORÇAMENTO.PrecoUnitarioLicitado&gt;$AN111)),"ACIMA REF.","")))))</f>
      </c>
      <c r="AD111" s="8">
        <f ca="1">IF(C111&lt;=CRONO.NivelExibicao,MAX($AD$15:OFFSET(AD111,-1,0))+IF($C111&lt;&gt;1,1,MAX(1,COUNTIF('[1]QCI'!$A$13:$A$24,OFFSET($E111,-1,0)))),"")</f>
      </c>
      <c r="AE111" s="18" t="str">
        <f>IF(AND($C111="S",ORÇAMENTO.CodBarra&lt;&gt;""),IF(ORÇAMENTO.Fonte="",ORÇAMENTO.CodBarra,CONCATENATE(ORÇAMENTO.Fonte," ",ORÇAMENTO.CodBarra)))</f>
        <v>SINAPI  103782 </v>
      </c>
      <c r="AF111" s="69" t="e">
        <f ca="1">IF(ISERROR(INDIRECT(ORÇAMENTO.BancoRef)),"(abra o arquivo 'Referência "&amp;Excel_BuiltIn_Database&amp;".xls)",IF(OR($C111&lt;&gt;"S",ORÇAMENTO.CodBarra=""),"(Sem Código)",IF(ISERROR(MATCH($AE111,INDIRECT(ORÇAMENTO.BancoRef),0)),"(Código não identificado nas referências)",MATCH($AE111,INDIRECT(ORÇAMENTO.BancoRef),0))))</f>
        <v>#VALUE!</v>
      </c>
      <c r="AG111" s="70">
        <v>40.7</v>
      </c>
      <c r="AH111" s="71">
        <f>ROUND(IF(ISNUMBER(ORÇAMENTO.OpcaoBDI),ORÇAMENTO.OpcaoBDI,IF(LEFT(ORÇAMENTO.OpcaoBDI,3)="BDI",HLOOKUP(ORÇAMENTO.OpcaoBDI,$F$4:$H$5,2,FALSE),0)),15-11*$AF$9)</f>
        <v>0.2282</v>
      </c>
      <c r="AJ111" s="72">
        <v>5</v>
      </c>
      <c r="AL111" s="73"/>
      <c r="AM111" s="74">
        <f t="shared" si="0"/>
        <v>0</v>
      </c>
      <c r="AN111" s="75">
        <f>ROUND(ORÇAMENTO.CustoUnitario*(1+$AH111),2)</f>
        <v>0</v>
      </c>
    </row>
    <row r="112" spans="1:40" ht="15">
      <c r="A112">
        <f t="shared" si="34"/>
        <v>1</v>
      </c>
      <c r="B112">
        <f ca="1" t="shared" si="2"/>
        <v>1</v>
      </c>
      <c r="C112">
        <f ca="1" t="shared" si="3"/>
        <v>1</v>
      </c>
      <c r="D112">
        <f t="shared" si="4"/>
        <v>111</v>
      </c>
      <c r="E112" t="e">
        <f ca="1">IF($C112=1,OFFSET(E112,-1,0)+MAX(1,COUNTIF('[1]QCI'!$A$13:$A$24,OFFSET('[1]ORÇAMENTO'!E110,-1,0))),OFFSET(E112,-1,0))</f>
        <v>#VALUE!</v>
      </c>
      <c r="F112">
        <f ca="1" t="shared" si="5"/>
        <v>0</v>
      </c>
      <c r="G112">
        <f ca="1" t="shared" si="6"/>
        <v>0</v>
      </c>
      <c r="H112">
        <f ca="1" t="shared" si="7"/>
        <v>0</v>
      </c>
      <c r="I112">
        <f ca="1" t="shared" si="8"/>
        <v>0</v>
      </c>
      <c r="J112">
        <f ca="1" t="shared" si="42"/>
        <v>111</v>
      </c>
      <c r="K112" t="e">
        <f ca="1">IF(OR($C112="S",$C112=0),0,MATCH(OFFSET($D112,0,$C112)+IF($C112&lt;&gt;1,1,COUNTIF('[1]QCI'!$A$13:$A$24,'[1]ORÇAMENTO'!E110)),OFFSET($D112,1,$C112,ROW($C$223)-ROW($C112)),0))</f>
        <v>#VALUE!</v>
      </c>
      <c r="L112" s="53" t="str">
        <f t="shared" si="10"/>
        <v>F</v>
      </c>
      <c r="M112" s="54" t="s">
        <v>3</v>
      </c>
      <c r="N112" s="55" t="str">
        <f t="shared" si="11"/>
        <v>Meta</v>
      </c>
      <c r="O112" s="56" t="s">
        <v>335</v>
      </c>
      <c r="P112" s="57" t="s">
        <v>62</v>
      </c>
      <c r="Q112" s="58"/>
      <c r="R112" s="59" t="s">
        <v>95</v>
      </c>
      <c r="S112" s="60" t="str">
        <f>REFERENCIA.Unidade</f>
        <v>-</v>
      </c>
      <c r="T112" s="61" t="e">
        <f ca="1">OFFSET('[1]CÁLCULO'!H$15,ROW($T112)-ROW(T$15),0)</f>
        <v>#VALUE!</v>
      </c>
      <c r="U112" s="62"/>
      <c r="V112" s="63" t="s">
        <v>10</v>
      </c>
      <c r="W112" s="61">
        <f t="shared" si="35"/>
        <v>0</v>
      </c>
      <c r="X112" s="64">
        <f>ROUND(SUM(X113),2)</f>
        <v>0</v>
      </c>
      <c r="Y112" s="65" t="s">
        <v>63</v>
      </c>
      <c r="Z112">
        <f t="shared" si="13"/>
      </c>
      <c r="AA112" s="66">
        <f>IF($C112="S",IF($Z112="CP",$X112,IF($Z112="RA",(($X112)*'[1]QCI'!$AA$3),0)),SomaAgrup)</f>
        <v>0</v>
      </c>
      <c r="AB112" s="67">
        <f t="shared" si="36"/>
        <v>0</v>
      </c>
      <c r="AC112" s="68" t="e">
        <f t="shared" si="37"/>
        <v>#VALUE!</v>
      </c>
      <c r="AD112" s="8" t="e">
        <f ca="1">IF(C112&lt;=CRONO.NivelExibicao,MAX($AD$15:OFFSET(AD112,-1,0))+IF($C112&lt;&gt;1,1,MAX(1,COUNTIF('[1]QCI'!$A$13:$A$24,OFFSET($E112,-1,0)))),"")</f>
        <v>#VALUE!</v>
      </c>
      <c r="AE112" s="18" t="b">
        <f t="shared" si="38"/>
        <v>0</v>
      </c>
      <c r="AF112" s="69" t="e">
        <f ca="1" t="shared" si="39"/>
        <v>#VALUE!</v>
      </c>
      <c r="AG112" s="70" t="e">
        <f>ROUND(IF(DESONERACAO="sim",REFERENCIA.Desonerado,REFERENCIA.NaoDesonerado),2)</f>
        <v>#VALUE!</v>
      </c>
      <c r="AH112" s="71">
        <f t="shared" si="40"/>
        <v>0.2282</v>
      </c>
      <c r="AJ112" s="72"/>
      <c r="AL112" s="73"/>
      <c r="AM112" s="74">
        <f t="shared" si="0"/>
        <v>0</v>
      </c>
      <c r="AN112" s="75">
        <f t="shared" si="41"/>
        <v>0</v>
      </c>
    </row>
    <row r="113" spans="1:40" ht="15">
      <c r="A113" t="str">
        <f t="shared" si="34"/>
        <v>S</v>
      </c>
      <c r="B113">
        <f ca="1" t="shared" si="2"/>
        <v>2</v>
      </c>
      <c r="C113">
        <f ca="1" t="shared" si="3"/>
        <v>2</v>
      </c>
      <c r="D113">
        <f t="shared" si="4"/>
        <v>4</v>
      </c>
      <c r="E113" t="e">
        <f ca="1">IF($C113=1,OFFSET(E113,-1,0)+MAX(1,COUNTIF('[1]QCI'!$A$13:$A$24,OFFSET('[1]ORÇAMENTO'!E111,-1,0))),OFFSET(E113,-1,0))</f>
        <v>#VALUE!</v>
      </c>
      <c r="F113">
        <f ca="1" t="shared" si="5"/>
        <v>1</v>
      </c>
      <c r="G113">
        <f ca="1" t="shared" si="6"/>
        <v>0</v>
      </c>
      <c r="H113">
        <f ca="1" t="shared" si="7"/>
        <v>0</v>
      </c>
      <c r="I113">
        <f ca="1" t="shared" si="8"/>
        <v>0</v>
      </c>
      <c r="J113">
        <f ca="1" t="shared" si="42"/>
        <v>4</v>
      </c>
      <c r="K113">
        <f ca="1">IF(OR($C113="S",$C113=0),0,MATCH(OFFSET($D113,0,$C113)+IF($C113&lt;&gt;1,1,COUNTIF('[1]QCI'!$A$13:$A$24,'[1]ORÇAMENTO'!E111)),OFFSET($D113,1,$C113,ROW($C$223)-ROW($C113)),0))</f>
        <v>12</v>
      </c>
      <c r="L113" s="53" t="str">
        <f t="shared" si="10"/>
        <v>F</v>
      </c>
      <c r="M113" s="54" t="s">
        <v>7</v>
      </c>
      <c r="N113" s="55" t="str">
        <f t="shared" si="11"/>
        <v>Nível 2</v>
      </c>
      <c r="O113" s="56" t="s">
        <v>336</v>
      </c>
      <c r="P113" s="57" t="s">
        <v>62</v>
      </c>
      <c r="Q113" s="58"/>
      <c r="R113" s="59" t="s">
        <v>67</v>
      </c>
      <c r="S113" s="60" t="str">
        <f>REFERENCIA.Unidade</f>
        <v>-</v>
      </c>
      <c r="T113" s="61" t="e">
        <f ca="1">OFFSET('[1]CÁLCULO'!H$15,ROW($T113)-ROW(T$15),0)</f>
        <v>#VALUE!</v>
      </c>
      <c r="U113" s="62"/>
      <c r="V113" s="63" t="s">
        <v>10</v>
      </c>
      <c r="W113" s="61">
        <f t="shared" si="35"/>
        <v>0</v>
      </c>
      <c r="X113" s="64">
        <f>ROUND(SUM(X114:X116),2)</f>
        <v>0</v>
      </c>
      <c r="Y113" s="65" t="s">
        <v>63</v>
      </c>
      <c r="Z113">
        <f t="shared" si="13"/>
      </c>
      <c r="AA113" s="66">
        <f>IF($C113="S",IF($Z113="CP",$X113,IF($Z113="RA",(($X113)*'[1]QCI'!$AA$3),0)),SomaAgrup)</f>
        <v>0</v>
      </c>
      <c r="AB113" s="67">
        <f t="shared" si="36"/>
        <v>0</v>
      </c>
      <c r="AC113" s="68" t="e">
        <f t="shared" si="37"/>
        <v>#VALUE!</v>
      </c>
      <c r="AD113" s="8" t="e">
        <f ca="1">IF(C113&lt;=CRONO.NivelExibicao,MAX($AD$15:OFFSET(AD113,-1,0))+IF($C113&lt;&gt;1,1,MAX(1,COUNTIF('[1]QCI'!$A$13:$A$24,OFFSET($E113,-1,0)))),"")</f>
        <v>#VALUE!</v>
      </c>
      <c r="AE113" s="18" t="b">
        <f t="shared" si="38"/>
        <v>0</v>
      </c>
      <c r="AF113" s="69" t="e">
        <f ca="1" t="shared" si="39"/>
        <v>#VALUE!</v>
      </c>
      <c r="AG113" s="70" t="e">
        <f>ROUND(IF(DESONERACAO="sim",REFERENCIA.Desonerado,REFERENCIA.NaoDesonerado),2)</f>
        <v>#VALUE!</v>
      </c>
      <c r="AH113" s="71">
        <f t="shared" si="40"/>
        <v>0.2282</v>
      </c>
      <c r="AJ113" s="72"/>
      <c r="AL113" s="73"/>
      <c r="AM113" s="74">
        <f t="shared" si="0"/>
        <v>0</v>
      </c>
      <c r="AN113" s="75">
        <f t="shared" si="41"/>
        <v>0</v>
      </c>
    </row>
    <row r="114" spans="1:40" ht="30">
      <c r="A114" t="str">
        <f t="shared" si="34"/>
        <v>S</v>
      </c>
      <c r="B114">
        <f ca="1" t="shared" si="2"/>
        <v>2</v>
      </c>
      <c r="C114" t="str">
        <f ca="1" t="shared" si="3"/>
        <v>S</v>
      </c>
      <c r="D114">
        <f t="shared" si="4"/>
        <v>0</v>
      </c>
      <c r="E114" t="e">
        <f ca="1">IF($C114=1,OFFSET(E114,-1,0)+MAX(1,COUNTIF('[1]QCI'!$A$13:$A$24,OFFSET('[1]ORÇAMENTO'!E112,-1,0))),OFFSET(E114,-1,0))</f>
        <v>#VALUE!</v>
      </c>
      <c r="F114">
        <f ca="1" t="shared" si="5"/>
        <v>1</v>
      </c>
      <c r="G114">
        <f ca="1" t="shared" si="6"/>
        <v>0</v>
      </c>
      <c r="H114">
        <f ca="1" t="shared" si="7"/>
        <v>0</v>
      </c>
      <c r="I114">
        <f ca="1" t="shared" si="8"/>
        <v>0</v>
      </c>
      <c r="J114">
        <f ca="1" t="shared" si="42"/>
        <v>0</v>
      </c>
      <c r="K114">
        <f ca="1">IF(OR($C114="S",$C114=0),0,MATCH(OFFSET($D114,0,$C114)+IF($C114&lt;&gt;1,1,COUNTIF('[1]QCI'!$A$13:$A$24,'[1]ORÇAMENTO'!E112)),OFFSET($D114,1,$C114,ROW($C$223)-ROW($C114)),0))</f>
        <v>0</v>
      </c>
      <c r="L114" s="53">
        <f t="shared" si="10"/>
      </c>
      <c r="M114" s="54" t="s">
        <v>7</v>
      </c>
      <c r="N114" s="55" t="str">
        <f t="shared" si="11"/>
        <v>Serviço</v>
      </c>
      <c r="O114" s="56" t="s">
        <v>337</v>
      </c>
      <c r="P114" s="57" t="s">
        <v>62</v>
      </c>
      <c r="Q114" s="58" t="s">
        <v>134</v>
      </c>
      <c r="R114" s="59" t="s">
        <v>127</v>
      </c>
      <c r="S114" s="60" t="s">
        <v>141</v>
      </c>
      <c r="T114" s="61">
        <f>AJ114</f>
        <v>18.2</v>
      </c>
      <c r="U114" s="62"/>
      <c r="V114" s="63" t="s">
        <v>10</v>
      </c>
      <c r="W114" s="61">
        <f t="shared" si="35"/>
        <v>0</v>
      </c>
      <c r="X114" s="64">
        <f>IF($C114="S",VTOTAL1,IF($C114=0,0,ROUND(SomaAgrup,15-13*$AF$11)))</f>
        <v>0</v>
      </c>
      <c r="Y114" s="65" t="s">
        <v>63</v>
      </c>
      <c r="Z114">
        <f t="shared" si="13"/>
      </c>
      <c r="AA114" s="66">
        <f>IF($C114="S",IF($Z114="CP",$X114,IF($Z114="RA",(($X114)*'[1]QCI'!$AA$3),0)),SomaAgrup)</f>
        <v>0</v>
      </c>
      <c r="AB114" s="67">
        <f t="shared" si="36"/>
        <v>0</v>
      </c>
      <c r="AC114" s="68">
        <f t="shared" si="37"/>
      </c>
      <c r="AD114" s="8">
        <f ca="1">IF(C114&lt;=CRONO.NivelExibicao,MAX($AD$15:OFFSET(AD114,-1,0))+IF($C114&lt;&gt;1,1,MAX(1,COUNTIF('[1]QCI'!$A$13:$A$24,OFFSET($E114,-1,0)))),"")</f>
      </c>
      <c r="AE114" s="18" t="str">
        <f t="shared" si="38"/>
        <v>SINAPI  97647 </v>
      </c>
      <c r="AF114" s="69" t="e">
        <f ca="1" t="shared" si="39"/>
        <v>#VALUE!</v>
      </c>
      <c r="AG114" s="70">
        <v>2.81</v>
      </c>
      <c r="AH114" s="71">
        <f t="shared" si="40"/>
        <v>0.2282</v>
      </c>
      <c r="AJ114" s="72">
        <v>18.2</v>
      </c>
      <c r="AL114" s="73"/>
      <c r="AM114" s="74">
        <f t="shared" si="0"/>
        <v>0</v>
      </c>
      <c r="AN114" s="75">
        <f t="shared" si="41"/>
        <v>0</v>
      </c>
    </row>
    <row r="115" spans="1:40" ht="60">
      <c r="A115" t="str">
        <f t="shared" si="34"/>
        <v>S</v>
      </c>
      <c r="B115">
        <f ca="1" t="shared" si="2"/>
        <v>2</v>
      </c>
      <c r="C115" t="str">
        <f ca="1" t="shared" si="3"/>
        <v>S</v>
      </c>
      <c r="D115">
        <f t="shared" si="4"/>
        <v>0</v>
      </c>
      <c r="E115" t="e">
        <f ca="1">IF($C115=1,OFFSET(E115,-1,0)+MAX(1,COUNTIF('[1]QCI'!$A$13:$A$24,OFFSET('[1]ORÇAMENTO'!E113,-1,0))),OFFSET(E115,-1,0))</f>
        <v>#VALUE!</v>
      </c>
      <c r="F115">
        <f ca="1" t="shared" si="5"/>
        <v>1</v>
      </c>
      <c r="G115">
        <f ca="1" t="shared" si="6"/>
        <v>0</v>
      </c>
      <c r="H115">
        <f ca="1" t="shared" si="7"/>
        <v>0</v>
      </c>
      <c r="I115">
        <f ca="1" t="shared" si="8"/>
        <v>0</v>
      </c>
      <c r="J115">
        <f ca="1" t="shared" si="42"/>
        <v>0</v>
      </c>
      <c r="K115">
        <f ca="1">IF(OR($C115="S",$C115=0),0,MATCH(OFFSET($D115,0,$C115)+IF($C115&lt;&gt;1,1,COUNTIF('[1]QCI'!$A$13:$A$24,'[1]ORÇAMENTO'!E113)),OFFSET($D115,1,$C115,ROW($C$223)-ROW($C115)),0))</f>
        <v>0</v>
      </c>
      <c r="L115" s="53">
        <f t="shared" si="10"/>
      </c>
      <c r="M115" s="54" t="s">
        <v>7</v>
      </c>
      <c r="N115" s="55" t="str">
        <f t="shared" si="11"/>
        <v>Serviço</v>
      </c>
      <c r="O115" s="56" t="s">
        <v>338</v>
      </c>
      <c r="P115" s="57" t="s">
        <v>62</v>
      </c>
      <c r="Q115" s="58" t="s">
        <v>174</v>
      </c>
      <c r="R115" s="59" t="s">
        <v>175</v>
      </c>
      <c r="S115" s="60" t="s">
        <v>141</v>
      </c>
      <c r="T115" s="61">
        <f>AJ115</f>
        <v>18.2</v>
      </c>
      <c r="U115" s="62"/>
      <c r="V115" s="63" t="s">
        <v>10</v>
      </c>
      <c r="W115" s="61">
        <f t="shared" si="35"/>
        <v>0</v>
      </c>
      <c r="X115" s="64">
        <f>IF($C115="S",VTOTAL1,IF($C115=0,0,ROUND(SomaAgrup,15-13*$AF$11)))</f>
        <v>0</v>
      </c>
      <c r="Y115" s="65" t="s">
        <v>63</v>
      </c>
      <c r="Z115">
        <f t="shared" si="13"/>
      </c>
      <c r="AA115" s="66">
        <f>IF($C115="S",IF($Z115="CP",$X115,IF($Z115="RA",(($X115)*'[1]QCI'!$AA$3),0)),SomaAgrup)</f>
        <v>0</v>
      </c>
      <c r="AB115" s="67">
        <f t="shared" si="36"/>
        <v>0</v>
      </c>
      <c r="AC115" s="68">
        <f t="shared" si="37"/>
      </c>
      <c r="AD115" s="8">
        <f ca="1">IF(C115&lt;=CRONO.NivelExibicao,MAX($AD$15:OFFSET(AD115,-1,0))+IF($C115&lt;&gt;1,1,MAX(1,COUNTIF('[1]QCI'!$A$13:$A$24,OFFSET($E115,-1,0)))),"")</f>
      </c>
      <c r="AE115" s="18" t="str">
        <f t="shared" si="38"/>
        <v>SINAPI  94210 </v>
      </c>
      <c r="AF115" s="69" t="e">
        <f ca="1" t="shared" si="39"/>
        <v>#VALUE!</v>
      </c>
      <c r="AG115" s="70">
        <v>59.63</v>
      </c>
      <c r="AH115" s="71">
        <f t="shared" si="40"/>
        <v>0.2282</v>
      </c>
      <c r="AJ115" s="72">
        <v>18.2</v>
      </c>
      <c r="AL115" s="73"/>
      <c r="AM115" s="74">
        <f t="shared" si="0"/>
        <v>0</v>
      </c>
      <c r="AN115" s="75">
        <f t="shared" si="41"/>
        <v>0</v>
      </c>
    </row>
    <row r="116" spans="1:40" ht="30">
      <c r="A116" t="str">
        <f t="shared" si="34"/>
        <v>S</v>
      </c>
      <c r="B116">
        <f ca="1" t="shared" si="2"/>
        <v>2</v>
      </c>
      <c r="C116" t="str">
        <f ca="1" t="shared" si="3"/>
        <v>S</v>
      </c>
      <c r="D116">
        <f t="shared" si="4"/>
        <v>0</v>
      </c>
      <c r="E116" t="e">
        <f ca="1">IF($C116=1,OFFSET(E116,-1,0)+MAX(1,COUNTIF('[1]QCI'!$A$13:$A$24,OFFSET('[1]ORÇAMENTO'!E114,-1,0))),OFFSET(E116,-1,0))</f>
        <v>#VALUE!</v>
      </c>
      <c r="F116">
        <f ca="1" t="shared" si="5"/>
        <v>1</v>
      </c>
      <c r="G116">
        <f ca="1" t="shared" si="6"/>
        <v>0</v>
      </c>
      <c r="H116">
        <f ca="1" t="shared" si="7"/>
        <v>0</v>
      </c>
      <c r="I116">
        <f ca="1" t="shared" si="8"/>
        <v>0</v>
      </c>
      <c r="J116">
        <f ca="1" t="shared" si="42"/>
        <v>0</v>
      </c>
      <c r="K116">
        <f ca="1">IF(OR($C116="S",$C116=0),0,MATCH(OFFSET($D116,0,$C116)+IF($C116&lt;&gt;1,1,COUNTIF('[1]QCI'!$A$13:$A$24,'[1]ORÇAMENTO'!E114)),OFFSET($D116,1,$C116,ROW($C$223)-ROW($C116)),0))</f>
        <v>0</v>
      </c>
      <c r="L116" s="53">
        <f t="shared" si="10"/>
      </c>
      <c r="M116" s="54" t="s">
        <v>7</v>
      </c>
      <c r="N116" s="55" t="str">
        <f t="shared" si="11"/>
        <v>Serviço</v>
      </c>
      <c r="O116" s="56" t="s">
        <v>339</v>
      </c>
      <c r="P116" s="57" t="s">
        <v>62</v>
      </c>
      <c r="Q116" s="58" t="s">
        <v>189</v>
      </c>
      <c r="R116" s="59" t="s">
        <v>190</v>
      </c>
      <c r="S116" s="60" t="s">
        <v>143</v>
      </c>
      <c r="T116" s="61">
        <f>AJ116</f>
        <v>9.58</v>
      </c>
      <c r="U116" s="62"/>
      <c r="V116" s="63" t="s">
        <v>10</v>
      </c>
      <c r="W116" s="61">
        <f t="shared" si="35"/>
        <v>0</v>
      </c>
      <c r="X116" s="64">
        <f>IF($C116="S",VTOTAL1,IF($C116=0,0,ROUND(SomaAgrup,15-13*$AF$11)))</f>
        <v>0</v>
      </c>
      <c r="Y116" s="65" t="s">
        <v>63</v>
      </c>
      <c r="Z116">
        <f t="shared" si="13"/>
      </c>
      <c r="AA116" s="66">
        <f>IF($C116="S",IF($Z116="CP",$X116,IF($Z116="RA",(($X116)*'[1]QCI'!$AA$3),0)),SomaAgrup)</f>
        <v>0</v>
      </c>
      <c r="AB116" s="67">
        <f t="shared" si="36"/>
        <v>0</v>
      </c>
      <c r="AC116" s="68">
        <f t="shared" si="37"/>
      </c>
      <c r="AD116" s="8">
        <f ca="1">IF(C116&lt;=CRONO.NivelExibicao,MAX($AD$15:OFFSET(AD116,-1,0))+IF($C116&lt;&gt;1,1,MAX(1,COUNTIF('[1]QCI'!$A$13:$A$24,OFFSET($E116,-1,0)))),"")</f>
      </c>
      <c r="AE116" s="18" t="str">
        <f t="shared" si="38"/>
        <v>SINAPI  94451 </v>
      </c>
      <c r="AF116" s="69" t="e">
        <f ca="1" t="shared" si="39"/>
        <v>#VALUE!</v>
      </c>
      <c r="AG116" s="70">
        <v>109.94</v>
      </c>
      <c r="AH116" s="71">
        <f t="shared" si="40"/>
        <v>0.2282</v>
      </c>
      <c r="AJ116" s="72">
        <v>9.58</v>
      </c>
      <c r="AL116" s="73"/>
      <c r="AM116" s="74">
        <f t="shared" si="0"/>
        <v>0</v>
      </c>
      <c r="AN116" s="75">
        <f t="shared" si="41"/>
        <v>0</v>
      </c>
    </row>
    <row r="117" spans="1:40" ht="15">
      <c r="A117">
        <f t="shared" si="34"/>
        <v>1</v>
      </c>
      <c r="B117">
        <f ca="1" t="shared" si="2"/>
        <v>1</v>
      </c>
      <c r="C117">
        <f ca="1" t="shared" si="3"/>
        <v>1</v>
      </c>
      <c r="D117">
        <f t="shared" si="4"/>
        <v>106</v>
      </c>
      <c r="E117" t="e">
        <f ca="1">IF($C117=1,OFFSET(E117,-1,0)+MAX(1,COUNTIF('[1]QCI'!$A$13:$A$24,OFFSET('[1]ORÇAMENTO'!E115,-1,0))),OFFSET(E117,-1,0))</f>
        <v>#VALUE!</v>
      </c>
      <c r="F117">
        <f ca="1" t="shared" si="5"/>
        <v>0</v>
      </c>
      <c r="G117">
        <f ca="1" t="shared" si="6"/>
        <v>0</v>
      </c>
      <c r="H117">
        <f ca="1" t="shared" si="7"/>
        <v>0</v>
      </c>
      <c r="I117">
        <f ca="1" t="shared" si="8"/>
        <v>0</v>
      </c>
      <c r="J117">
        <f ca="1" t="shared" si="42"/>
        <v>106</v>
      </c>
      <c r="K117" t="e">
        <f ca="1">IF(OR($C117="S",$C117=0),0,MATCH(OFFSET($D117,0,$C117)+IF($C117&lt;&gt;1,1,COUNTIF('[1]QCI'!$A$13:$A$24,'[1]ORÇAMENTO'!E115)),OFFSET($D117,1,$C117,ROW($C$223)-ROW($C117)),0))</f>
        <v>#VALUE!</v>
      </c>
      <c r="L117" s="53" t="str">
        <f t="shared" si="10"/>
        <v>F</v>
      </c>
      <c r="M117" s="54" t="s">
        <v>3</v>
      </c>
      <c r="N117" s="55" t="str">
        <f t="shared" si="11"/>
        <v>Meta</v>
      </c>
      <c r="O117" s="56" t="s">
        <v>340</v>
      </c>
      <c r="P117" s="57" t="s">
        <v>62</v>
      </c>
      <c r="Q117" s="58"/>
      <c r="R117" s="59" t="s">
        <v>96</v>
      </c>
      <c r="S117" s="60" t="str">
        <f>REFERENCIA.Unidade</f>
        <v>-</v>
      </c>
      <c r="T117" s="61" t="e">
        <f ca="1">OFFSET('[1]CÁLCULO'!H$15,ROW($T117)-ROW(T$15),0)</f>
        <v>#VALUE!</v>
      </c>
      <c r="U117" s="62"/>
      <c r="V117" s="63" t="s">
        <v>10</v>
      </c>
      <c r="W117" s="61">
        <f t="shared" si="35"/>
        <v>0</v>
      </c>
      <c r="X117" s="64">
        <f>ROUND(SUM(X118,X125),2)</f>
        <v>0</v>
      </c>
      <c r="Y117" s="65" t="s">
        <v>63</v>
      </c>
      <c r="Z117">
        <f t="shared" si="13"/>
      </c>
      <c r="AA117" s="66">
        <f>IF($C117="S",IF($Z117="CP",$X117,IF($Z117="RA",(($X117)*'[1]QCI'!$AA$3),0)),SomaAgrup)</f>
        <v>0</v>
      </c>
      <c r="AB117" s="67">
        <f t="shared" si="36"/>
        <v>0</v>
      </c>
      <c r="AC117" s="68" t="e">
        <f t="shared" si="37"/>
        <v>#VALUE!</v>
      </c>
      <c r="AD117" s="8" t="e">
        <f ca="1">IF(C117&lt;=CRONO.NivelExibicao,MAX($AD$15:OFFSET(AD117,-1,0))+IF($C117&lt;&gt;1,1,MAX(1,COUNTIF('[1]QCI'!$A$13:$A$24,OFFSET($E117,-1,0)))),"")</f>
        <v>#VALUE!</v>
      </c>
      <c r="AE117" s="18" t="b">
        <f t="shared" si="38"/>
        <v>0</v>
      </c>
      <c r="AF117" s="69" t="e">
        <f ca="1" t="shared" si="39"/>
        <v>#VALUE!</v>
      </c>
      <c r="AG117" s="70" t="e">
        <f>ROUND(IF(DESONERACAO="sim",REFERENCIA.Desonerado,REFERENCIA.NaoDesonerado),2)</f>
        <v>#VALUE!</v>
      </c>
      <c r="AH117" s="71">
        <f t="shared" si="40"/>
        <v>0.2282</v>
      </c>
      <c r="AJ117" s="72"/>
      <c r="AL117" s="73"/>
      <c r="AM117" s="74">
        <f t="shared" si="0"/>
        <v>0</v>
      </c>
      <c r="AN117" s="75">
        <f t="shared" si="41"/>
        <v>0</v>
      </c>
    </row>
    <row r="118" spans="1:40" ht="15">
      <c r="A118" t="str">
        <f t="shared" si="34"/>
        <v>S</v>
      </c>
      <c r="B118">
        <f ca="1" t="shared" si="2"/>
        <v>2</v>
      </c>
      <c r="C118">
        <f ca="1" t="shared" si="3"/>
        <v>2</v>
      </c>
      <c r="D118">
        <f t="shared" si="4"/>
        <v>7</v>
      </c>
      <c r="E118" t="e">
        <f ca="1">IF($C118=1,OFFSET(E118,-1,0)+MAX(1,COUNTIF('[1]QCI'!$A$13:$A$24,OFFSET('[1]ORÇAMENTO'!E116,-1,0))),OFFSET(E118,-1,0))</f>
        <v>#VALUE!</v>
      </c>
      <c r="F118">
        <f ca="1" t="shared" si="5"/>
        <v>1</v>
      </c>
      <c r="G118">
        <f ca="1" t="shared" si="6"/>
        <v>0</v>
      </c>
      <c r="H118">
        <f ca="1" t="shared" si="7"/>
        <v>0</v>
      </c>
      <c r="I118">
        <f ca="1" t="shared" si="8"/>
        <v>0</v>
      </c>
      <c r="J118">
        <f ca="1" t="shared" si="42"/>
        <v>17</v>
      </c>
      <c r="K118">
        <f ca="1">IF(OR($C118="S",$C118=0),0,MATCH(OFFSET($D118,0,$C118)+IF($C118&lt;&gt;1,1,COUNTIF('[1]QCI'!$A$13:$A$24,'[1]ORÇAMENTO'!E116)),OFFSET($D118,1,$C118,ROW($C$223)-ROW($C118)),0))</f>
        <v>7</v>
      </c>
      <c r="L118" s="53" t="str">
        <f t="shared" si="10"/>
        <v>F</v>
      </c>
      <c r="M118" s="54" t="s">
        <v>7</v>
      </c>
      <c r="N118" s="55" t="str">
        <f t="shared" si="11"/>
        <v>Nível 2</v>
      </c>
      <c r="O118" s="56" t="s">
        <v>341</v>
      </c>
      <c r="P118" s="57" t="s">
        <v>62</v>
      </c>
      <c r="Q118" s="58"/>
      <c r="R118" s="59" t="s">
        <v>67</v>
      </c>
      <c r="S118" s="60" t="str">
        <f>REFERENCIA.Unidade</f>
        <v>-</v>
      </c>
      <c r="T118" s="61" t="e">
        <f ca="1">OFFSET('[1]CÁLCULO'!H$15,ROW($T118)-ROW(T$15),0)</f>
        <v>#VALUE!</v>
      </c>
      <c r="U118" s="62"/>
      <c r="V118" s="63" t="s">
        <v>10</v>
      </c>
      <c r="W118" s="61">
        <f t="shared" si="35"/>
        <v>0</v>
      </c>
      <c r="X118" s="64">
        <f>ROUND(SUM(X119:X124),2)</f>
        <v>0</v>
      </c>
      <c r="Y118" s="65" t="s">
        <v>63</v>
      </c>
      <c r="Z118">
        <f t="shared" si="13"/>
      </c>
      <c r="AA118" s="66">
        <f>IF($C118="S",IF($Z118="CP",$X118,IF($Z118="RA",(($X118)*'[1]QCI'!$AA$3),0)),SomaAgrup)</f>
        <v>0</v>
      </c>
      <c r="AB118" s="67">
        <f t="shared" si="36"/>
        <v>0</v>
      </c>
      <c r="AC118" s="68" t="e">
        <f t="shared" si="37"/>
        <v>#VALUE!</v>
      </c>
      <c r="AD118" s="8" t="e">
        <f ca="1">IF(C118&lt;=CRONO.NivelExibicao,MAX($AD$15:OFFSET(AD118,-1,0))+IF($C118&lt;&gt;1,1,MAX(1,COUNTIF('[1]QCI'!$A$13:$A$24,OFFSET($E118,-1,0)))),"")</f>
        <v>#VALUE!</v>
      </c>
      <c r="AE118" s="18" t="b">
        <f t="shared" si="38"/>
        <v>0</v>
      </c>
      <c r="AF118" s="69" t="e">
        <f ca="1" t="shared" si="39"/>
        <v>#VALUE!</v>
      </c>
      <c r="AG118" s="70" t="e">
        <f>ROUND(IF(DESONERACAO="sim",REFERENCIA.Desonerado,REFERENCIA.NaoDesonerado),2)</f>
        <v>#VALUE!</v>
      </c>
      <c r="AH118" s="71">
        <f t="shared" si="40"/>
        <v>0.2282</v>
      </c>
      <c r="AJ118" s="72"/>
      <c r="AL118" s="73"/>
      <c r="AM118" s="74">
        <f t="shared" si="0"/>
        <v>0</v>
      </c>
      <c r="AN118" s="75">
        <f t="shared" si="41"/>
        <v>0</v>
      </c>
    </row>
    <row r="119" spans="1:40" ht="30">
      <c r="A119" t="str">
        <f t="shared" si="34"/>
        <v>S</v>
      </c>
      <c r="B119">
        <f ca="1" t="shared" si="2"/>
        <v>2</v>
      </c>
      <c r="C119" t="str">
        <f ca="1" t="shared" si="3"/>
        <v>S</v>
      </c>
      <c r="D119">
        <f t="shared" si="4"/>
        <v>0</v>
      </c>
      <c r="E119" t="e">
        <f ca="1">IF($C119=1,OFFSET(E119,-1,0)+MAX(1,COUNTIF('[1]QCI'!$A$13:$A$24,OFFSET('[1]ORÇAMENTO'!E117,-1,0))),OFFSET(E119,-1,0))</f>
        <v>#VALUE!</v>
      </c>
      <c r="F119">
        <f ca="1" t="shared" si="5"/>
        <v>1</v>
      </c>
      <c r="G119">
        <f ca="1" t="shared" si="6"/>
        <v>0</v>
      </c>
      <c r="H119">
        <f ca="1" t="shared" si="7"/>
        <v>0</v>
      </c>
      <c r="I119">
        <f ca="1" t="shared" si="8"/>
        <v>0</v>
      </c>
      <c r="J119">
        <f ca="1" t="shared" si="42"/>
        <v>0</v>
      </c>
      <c r="K119">
        <f ca="1">IF(OR($C119="S",$C119=0),0,MATCH(OFFSET($D119,0,$C119)+IF($C119&lt;&gt;1,1,COUNTIF('[1]QCI'!$A$13:$A$24,'[1]ORÇAMENTO'!E117)),OFFSET($D119,1,$C119,ROW($C$223)-ROW($C119)),0))</f>
        <v>0</v>
      </c>
      <c r="L119" s="53">
        <f t="shared" si="10"/>
      </c>
      <c r="M119" s="54" t="s">
        <v>7</v>
      </c>
      <c r="N119" s="55" t="str">
        <f t="shared" si="11"/>
        <v>Serviço</v>
      </c>
      <c r="O119" s="56" t="s">
        <v>342</v>
      </c>
      <c r="P119" s="57" t="s">
        <v>62</v>
      </c>
      <c r="Q119" s="58" t="s">
        <v>134</v>
      </c>
      <c r="R119" s="59" t="s">
        <v>127</v>
      </c>
      <c r="S119" s="60" t="s">
        <v>141</v>
      </c>
      <c r="T119" s="61">
        <f aca="true" t="shared" si="45" ref="T119:T124">AJ119</f>
        <v>70.85</v>
      </c>
      <c r="U119" s="62"/>
      <c r="V119" s="63" t="s">
        <v>10</v>
      </c>
      <c r="W119" s="61">
        <f t="shared" si="35"/>
        <v>0</v>
      </c>
      <c r="X119" s="64">
        <f>IF($C119="S",VTOTAL1,IF($C119=0,0,ROUND(SomaAgrup,15-13*$AF$11)))</f>
        <v>0</v>
      </c>
      <c r="Y119" s="65" t="s">
        <v>63</v>
      </c>
      <c r="Z119">
        <f t="shared" si="13"/>
      </c>
      <c r="AA119" s="66">
        <f>IF($C119="S",IF($Z119="CP",$X119,IF($Z119="RA",(($X119)*'[1]QCI'!$AA$3),0)),SomaAgrup)</f>
        <v>0</v>
      </c>
      <c r="AB119" s="67">
        <f t="shared" si="36"/>
        <v>0</v>
      </c>
      <c r="AC119" s="68">
        <f t="shared" si="37"/>
      </c>
      <c r="AD119" s="8">
        <f ca="1">IF(C119&lt;=CRONO.NivelExibicao,MAX($AD$15:OFFSET(AD119,-1,0))+IF($C119&lt;&gt;1,1,MAX(1,COUNTIF('[1]QCI'!$A$13:$A$24,OFFSET($E119,-1,0)))),"")</f>
      </c>
      <c r="AE119" s="18" t="str">
        <f t="shared" si="38"/>
        <v>SINAPI  97647 </v>
      </c>
      <c r="AF119" s="69" t="e">
        <f ca="1" t="shared" si="39"/>
        <v>#VALUE!</v>
      </c>
      <c r="AG119" s="70">
        <v>2.81</v>
      </c>
      <c r="AH119" s="71">
        <f t="shared" si="40"/>
        <v>0.2282</v>
      </c>
      <c r="AJ119" s="72">
        <v>70.85</v>
      </c>
      <c r="AL119" s="73"/>
      <c r="AM119" s="74">
        <f t="shared" si="0"/>
        <v>0</v>
      </c>
      <c r="AN119" s="75">
        <f t="shared" si="41"/>
        <v>0</v>
      </c>
    </row>
    <row r="120" spans="1:40" ht="30">
      <c r="A120" t="str">
        <f>CHOOSE(1+LOG(1+2*(ORÇAMENTO.Nivel="Meta")+4*(ORÇAMENTO.Nivel="Nível 2")+8*(ORÇAMENTO.Nivel="Nível 3")+16*(ORÇAMENTO.Nivel="Nível 4")+32*(ORÇAMENTO.Nivel="Serviço"),2),0,1,2,3,4,"S")</f>
        <v>S</v>
      </c>
      <c r="B120">
        <f ca="1">IF(OR(C120="s",C120=0),OFFSET(B120,-1,0),C120)</f>
        <v>2</v>
      </c>
      <c r="C120" t="str">
        <f ca="1">IF(OFFSET(C120,-1,0)="L",1,IF(OFFSET(C120,-1,0)=1,2,IF(OR(A120="s",A120=0),"S",IF(AND(OFFSET(C120,-1,0)=2,A120=4),3,IF(AND(OR(OFFSET(C120,-1,0)="s",OFFSET(C120,-1,0)=0),A120&lt;&gt;"s",A120&gt;OFFSET(B120,-1,0)),OFFSET(B120,-1,0),A120)))))</f>
        <v>S</v>
      </c>
      <c r="D120">
        <f>IF(OR(C120="S",C120=0),0,IF(ISERROR(K120),J120,SMALL(J120:K120,1)))</f>
        <v>0</v>
      </c>
      <c r="E120" t="e">
        <f ca="1">IF($C120=1,OFFSET(E120,-1,0)+MAX(1,COUNTIF('[1]QCI'!$A$13:$A$24,OFFSET('[1]ORÇAMENTO'!E118,-1,0))),OFFSET(E120,-1,0))</f>
        <v>#VALUE!</v>
      </c>
      <c r="F120">
        <f ca="1">IF($C120=1,0,IF($C120=2,OFFSET(F120,-1,0)+1,OFFSET(F120,-1,0)))</f>
        <v>1</v>
      </c>
      <c r="G120">
        <f ca="1">IF(AND($C120&lt;=2,$C120&lt;&gt;0),0,IF($C120=3,OFFSET(G120,-1,0)+1,OFFSET(G120,-1,0)))</f>
        <v>0</v>
      </c>
      <c r="H120">
        <f ca="1">IF(AND($C120&lt;=3,$C120&lt;&gt;0),0,IF($C120=4,OFFSET(H120,-1,0)+1,OFFSET(H120,-1,0)))</f>
        <v>0</v>
      </c>
      <c r="I120">
        <f ca="1">IF(AND($C120&lt;=4,$C120&lt;&gt;0),0,IF(AND($C120="S",$X120&gt;0),OFFSET(I120,-1,0)+1,OFFSET(I120,-1,0)))</f>
        <v>0</v>
      </c>
      <c r="J120">
        <f ca="1" t="shared" si="42"/>
        <v>0</v>
      </c>
      <c r="K120">
        <f ca="1">IF(OR($C120="S",$C120=0),0,MATCH(OFFSET($D120,0,$C120)+IF($C120&lt;&gt;1,1,COUNTIF('[1]QCI'!$A$13:$A$24,'[1]ORÇAMENTO'!E118)),OFFSET($D120,1,$C120,ROW($C$223)-ROW($C120)),0))</f>
        <v>0</v>
      </c>
      <c r="L120" s="53">
        <f>IF(OR($X120&gt;0,$C120=1,$C120=2,$C120=3,$C120=4),"F","")</f>
      </c>
      <c r="M120" s="54" t="s">
        <v>7</v>
      </c>
      <c r="N120" s="55" t="str">
        <f>CHOOSE(1+LOG(1+2*(C120=1)+4*(C120=2)+8*(C120=3)+16*(C120=4)+32*(C120="S"),2),"","Meta","Nível 2","Nível 3","Nível 4","Serviço")</f>
        <v>Serviço</v>
      </c>
      <c r="O120" s="56" t="s">
        <v>343</v>
      </c>
      <c r="P120" s="57" t="s">
        <v>62</v>
      </c>
      <c r="Q120" s="58" t="s">
        <v>135</v>
      </c>
      <c r="R120" s="59" t="s">
        <v>128</v>
      </c>
      <c r="S120" s="60" t="s">
        <v>141</v>
      </c>
      <c r="T120" s="61">
        <f t="shared" si="45"/>
        <v>70.85</v>
      </c>
      <c r="U120" s="62"/>
      <c r="V120" s="63" t="s">
        <v>10</v>
      </c>
      <c r="W120" s="61">
        <f>IF($C120="S",ROUND(IF(TIPOORCAMENTO="Proposto",ORÇAMENTO.CustoUnitario*(1+$AH120),ORÇAMENTO.PrecoUnitarioLicitado),15-13*$AF$10),0)</f>
        <v>0</v>
      </c>
      <c r="X120" s="64">
        <f>IF($C120="S",VTOTAL1,IF($C120=0,0,ROUND(SomaAgrup,15-13*$AF$11)))</f>
        <v>0</v>
      </c>
      <c r="Y120" s="65" t="s">
        <v>63</v>
      </c>
      <c r="Z120">
        <f>IF(AND($C120="S",$X120&gt;0),IF(ISBLANK($Y120),"RA",LEFT($Y120,2)),"")</f>
      </c>
      <c r="AA120" s="66">
        <f>IF($C120="S",IF($Z120="CP",$X120,IF($Z120="RA",(($X120)*'[1]QCI'!$AA$3),0)),SomaAgrup)</f>
        <v>0</v>
      </c>
      <c r="AB120" s="67">
        <f>IF($C120="S",IF($Z120="OU",ROUND($X120,2),0),SomaAgrup)</f>
        <v>0</v>
      </c>
      <c r="AC120" s="68">
        <f>IF($N120="","",IF(ORÇAMENTO.Descricao="","DESCRIÇÃO",IF(AND($C120="S",ORÇAMENTO.Unidade=""),"UNIDADE",IF($X120&lt;0,"VALOR NEGATIVO",IF(OR(AND(TIPOORCAMENTO="Proposto",$AG120&lt;&gt;"",$AG120&gt;0,ORÇAMENTO.CustoUnitario&gt;$AG120),AND(TIPOORCAMENTO="LICITADO",ORÇAMENTO.PrecoUnitarioLicitado&gt;$AN120)),"ACIMA REF.","")))))</f>
      </c>
      <c r="AD120" s="8">
        <f ca="1">IF(C120&lt;=CRONO.NivelExibicao,MAX($AD$15:OFFSET(AD120,-1,0))+IF($C120&lt;&gt;1,1,MAX(1,COUNTIF('[1]QCI'!$A$13:$A$24,OFFSET($E120,-1,0)))),"")</f>
      </c>
      <c r="AE120" s="18" t="str">
        <f>IF(AND($C120="S",ORÇAMENTO.CodBarra&lt;&gt;""),IF(ORÇAMENTO.Fonte="",ORÇAMENTO.CodBarra,CONCATENATE(ORÇAMENTO.Fonte," ",ORÇAMENTO.CodBarra)))</f>
        <v>SINAPI  97650 </v>
      </c>
      <c r="AF120" s="69" t="e">
        <f ca="1">IF(ISERROR(INDIRECT(ORÇAMENTO.BancoRef)),"(abra o arquivo 'Referência "&amp;Excel_BuiltIn_Database&amp;".xls)",IF(OR($C120&lt;&gt;"S",ORÇAMENTO.CodBarra=""),"(Sem Código)",IF(ISERROR(MATCH($AE120,INDIRECT(ORÇAMENTO.BancoRef),0)),"(Código não identificado nas referências)",MATCH($AE120,INDIRECT(ORÇAMENTO.BancoRef),0))))</f>
        <v>#VALUE!</v>
      </c>
      <c r="AG120" s="70">
        <v>6.04</v>
      </c>
      <c r="AH120" s="71">
        <f>ROUND(IF(ISNUMBER(ORÇAMENTO.OpcaoBDI),ORÇAMENTO.OpcaoBDI,IF(LEFT(ORÇAMENTO.OpcaoBDI,3)="BDI",HLOOKUP(ORÇAMENTO.OpcaoBDI,$F$4:$H$5,2,FALSE),0)),15-11*$AF$9)</f>
        <v>0.2282</v>
      </c>
      <c r="AJ120" s="72">
        <v>70.85</v>
      </c>
      <c r="AL120" s="73"/>
      <c r="AM120" s="74">
        <f t="shared" si="0"/>
        <v>0</v>
      </c>
      <c r="AN120" s="75">
        <f>ROUND(ORÇAMENTO.CustoUnitario*(1+$AH120),2)</f>
        <v>0</v>
      </c>
    </row>
    <row r="121" spans="1:40" ht="30">
      <c r="A121" t="str">
        <f t="shared" si="34"/>
        <v>S</v>
      </c>
      <c r="B121">
        <f ca="1" t="shared" si="2"/>
        <v>2</v>
      </c>
      <c r="C121" t="str">
        <f ca="1" t="shared" si="3"/>
        <v>S</v>
      </c>
      <c r="D121">
        <f t="shared" si="4"/>
        <v>0</v>
      </c>
      <c r="E121" t="e">
        <f ca="1">IF($C121=1,OFFSET(E121,-1,0)+MAX(1,COUNTIF('[1]QCI'!$A$13:$A$24,OFFSET('[1]ORÇAMENTO'!E119,-1,0))),OFFSET(E121,-1,0))</f>
        <v>#VALUE!</v>
      </c>
      <c r="F121">
        <f ca="1" t="shared" si="5"/>
        <v>1</v>
      </c>
      <c r="G121">
        <f ca="1" t="shared" si="6"/>
        <v>0</v>
      </c>
      <c r="H121">
        <f ca="1" t="shared" si="7"/>
        <v>0</v>
      </c>
      <c r="I121">
        <f ca="1" t="shared" si="8"/>
        <v>0</v>
      </c>
      <c r="J121">
        <f ca="1" t="shared" si="42"/>
        <v>0</v>
      </c>
      <c r="K121">
        <f ca="1">IF(OR($C121="S",$C121=0),0,MATCH(OFFSET($D121,0,$C121)+IF($C121&lt;&gt;1,1,COUNTIF('[1]QCI'!$A$13:$A$24,'[1]ORÇAMENTO'!E119)),OFFSET($D121,1,$C121,ROW($C$223)-ROW($C121)),0))</f>
        <v>0</v>
      </c>
      <c r="L121" s="53">
        <f t="shared" si="10"/>
      </c>
      <c r="M121" s="54" t="s">
        <v>7</v>
      </c>
      <c r="N121" s="55" t="str">
        <f t="shared" si="11"/>
        <v>Serviço</v>
      </c>
      <c r="O121" s="56" t="s">
        <v>344</v>
      </c>
      <c r="P121" s="57" t="s">
        <v>62</v>
      </c>
      <c r="Q121" s="58" t="s">
        <v>136</v>
      </c>
      <c r="R121" s="59" t="s">
        <v>129</v>
      </c>
      <c r="S121" s="60" t="s">
        <v>142</v>
      </c>
      <c r="T121" s="61">
        <f t="shared" si="45"/>
        <v>6</v>
      </c>
      <c r="U121" s="62"/>
      <c r="V121" s="63" t="s">
        <v>10</v>
      </c>
      <c r="W121" s="61">
        <f t="shared" si="35"/>
        <v>0</v>
      </c>
      <c r="X121" s="64">
        <f>IF($C121="S",VTOTAL1,IF($C121=0,0,ROUND(SomaAgrup,15-13*$AF$11)))</f>
        <v>0</v>
      </c>
      <c r="Y121" s="65" t="s">
        <v>63</v>
      </c>
      <c r="Z121">
        <f t="shared" si="13"/>
      </c>
      <c r="AA121" s="66">
        <f>IF($C121="S",IF($Z121="CP",$X121,IF($Z121="RA",(($X121)*'[1]QCI'!$AA$3),0)),SomaAgrup)</f>
        <v>0</v>
      </c>
      <c r="AB121" s="67">
        <f t="shared" si="36"/>
        <v>0</v>
      </c>
      <c r="AC121" s="68">
        <f t="shared" si="37"/>
      </c>
      <c r="AD121" s="8">
        <f ca="1">IF(C121&lt;=CRONO.NivelExibicao,MAX($AD$15:OFFSET(AD121,-1,0))+IF($C121&lt;&gt;1,1,MAX(1,COUNTIF('[1]QCI'!$A$13:$A$24,OFFSET($E121,-1,0)))),"")</f>
      </c>
      <c r="AE121" s="18" t="str">
        <f t="shared" si="38"/>
        <v>SINAPI  97652 </v>
      </c>
      <c r="AF121" s="69" t="e">
        <f ca="1" t="shared" si="39"/>
        <v>#VALUE!</v>
      </c>
      <c r="AG121" s="70">
        <v>151.74</v>
      </c>
      <c r="AH121" s="71">
        <f t="shared" si="40"/>
        <v>0.2282</v>
      </c>
      <c r="AJ121" s="72">
        <v>6</v>
      </c>
      <c r="AL121" s="73"/>
      <c r="AM121" s="74">
        <f t="shared" si="0"/>
        <v>0</v>
      </c>
      <c r="AN121" s="75">
        <f t="shared" si="41"/>
        <v>0</v>
      </c>
    </row>
    <row r="122" spans="1:40" ht="45">
      <c r="A122" t="str">
        <f t="shared" si="34"/>
        <v>S</v>
      </c>
      <c r="B122">
        <f ca="1" t="shared" si="2"/>
        <v>2</v>
      </c>
      <c r="C122" t="str">
        <f ca="1" t="shared" si="3"/>
        <v>S</v>
      </c>
      <c r="D122">
        <f t="shared" si="4"/>
        <v>0</v>
      </c>
      <c r="E122" t="e">
        <f ca="1">IF($C122=1,OFFSET(E122,-1,0)+MAX(1,COUNTIF('[1]QCI'!$A$13:$A$24,OFFSET('[1]ORÇAMENTO'!E120,-1,0))),OFFSET(E122,-1,0))</f>
        <v>#VALUE!</v>
      </c>
      <c r="F122">
        <f ca="1" t="shared" si="5"/>
        <v>1</v>
      </c>
      <c r="G122">
        <f ca="1" t="shared" si="6"/>
        <v>0</v>
      </c>
      <c r="H122">
        <f ca="1" t="shared" si="7"/>
        <v>0</v>
      </c>
      <c r="I122">
        <f ca="1" t="shared" si="8"/>
        <v>0</v>
      </c>
      <c r="J122">
        <f ca="1" t="shared" si="42"/>
        <v>0</v>
      </c>
      <c r="K122">
        <f ca="1">IF(OR($C122="S",$C122=0),0,MATCH(OFFSET($D122,0,$C122)+IF($C122&lt;&gt;1,1,COUNTIF('[1]QCI'!$A$13:$A$24,'[1]ORÇAMENTO'!E120)),OFFSET($D122,1,$C122,ROW($C$223)-ROW($C122)),0))</f>
        <v>0</v>
      </c>
      <c r="L122" s="53">
        <f t="shared" si="10"/>
      </c>
      <c r="M122" s="54" t="s">
        <v>7</v>
      </c>
      <c r="N122" s="55" t="str">
        <f t="shared" si="11"/>
        <v>Serviço</v>
      </c>
      <c r="O122" s="56" t="s">
        <v>345</v>
      </c>
      <c r="P122" s="57" t="s">
        <v>62</v>
      </c>
      <c r="Q122" s="58" t="s">
        <v>191</v>
      </c>
      <c r="R122" s="59" t="s">
        <v>193</v>
      </c>
      <c r="S122" s="60" t="s">
        <v>142</v>
      </c>
      <c r="T122" s="61">
        <f t="shared" si="45"/>
        <v>6</v>
      </c>
      <c r="U122" s="62"/>
      <c r="V122" s="63" t="s">
        <v>10</v>
      </c>
      <c r="W122" s="61">
        <f t="shared" si="35"/>
        <v>0</v>
      </c>
      <c r="X122" s="64">
        <f>IF($C122="S",VTOTAL1,IF($C122=0,0,ROUND(SomaAgrup,15-13*$AF$11)))</f>
        <v>0</v>
      </c>
      <c r="Y122" s="65" t="s">
        <v>63</v>
      </c>
      <c r="Z122">
        <f t="shared" si="13"/>
      </c>
      <c r="AA122" s="66">
        <f>IF($C122="S",IF($Z122="CP",$X122,IF($Z122="RA",(($X122)*'[1]QCI'!$AA$3),0)),SomaAgrup)</f>
        <v>0</v>
      </c>
      <c r="AB122" s="67">
        <f t="shared" si="36"/>
        <v>0</v>
      </c>
      <c r="AC122" s="68">
        <f t="shared" si="37"/>
      </c>
      <c r="AD122" s="8">
        <f ca="1">IF(C122&lt;=CRONO.NivelExibicao,MAX($AD$15:OFFSET(AD122,-1,0))+IF($C122&lt;&gt;1,1,MAX(1,COUNTIF('[1]QCI'!$A$13:$A$24,OFFSET($E122,-1,0)))),"")</f>
      </c>
      <c r="AE122" s="18" t="str">
        <f t="shared" si="38"/>
        <v>SINAPI  92553 </v>
      </c>
      <c r="AF122" s="69" t="e">
        <f ca="1" t="shared" si="39"/>
        <v>#VALUE!</v>
      </c>
      <c r="AG122" s="70">
        <v>2934.88</v>
      </c>
      <c r="AH122" s="71">
        <f t="shared" si="40"/>
        <v>0.2282</v>
      </c>
      <c r="AJ122" s="72">
        <v>6</v>
      </c>
      <c r="AL122" s="73"/>
      <c r="AM122" s="74">
        <f t="shared" si="0"/>
        <v>0</v>
      </c>
      <c r="AN122" s="75">
        <f t="shared" si="41"/>
        <v>0</v>
      </c>
    </row>
    <row r="123" spans="1:40" ht="45">
      <c r="A123" t="str">
        <f t="shared" si="34"/>
        <v>S</v>
      </c>
      <c r="B123">
        <f ca="1" t="shared" si="2"/>
        <v>2</v>
      </c>
      <c r="C123" t="str">
        <f ca="1" t="shared" si="3"/>
        <v>S</v>
      </c>
      <c r="D123">
        <f t="shared" si="4"/>
        <v>0</v>
      </c>
      <c r="E123" t="e">
        <f ca="1">IF($C123=1,OFFSET(E123,-1,0)+MAX(1,COUNTIF('[1]QCI'!$A$13:$A$24,OFFSET('[1]ORÇAMENTO'!E121,-1,0))),OFFSET(E123,-1,0))</f>
        <v>#VALUE!</v>
      </c>
      <c r="F123">
        <f ca="1" t="shared" si="5"/>
        <v>1</v>
      </c>
      <c r="G123">
        <f ca="1" t="shared" si="6"/>
        <v>0</v>
      </c>
      <c r="H123">
        <f ca="1" t="shared" si="7"/>
        <v>0</v>
      </c>
      <c r="I123">
        <f ca="1" t="shared" si="8"/>
        <v>0</v>
      </c>
      <c r="J123">
        <f ca="1" t="shared" si="42"/>
        <v>0</v>
      </c>
      <c r="K123">
        <f ca="1">IF(OR($C123="S",$C123=0),0,MATCH(OFFSET($D123,0,$C123)+IF($C123&lt;&gt;1,1,COUNTIF('[1]QCI'!$A$13:$A$24,'[1]ORÇAMENTO'!E121)),OFFSET($D123,1,$C123,ROW($C$223)-ROW($C123)),0))</f>
        <v>0</v>
      </c>
      <c r="L123" s="53">
        <f t="shared" si="10"/>
      </c>
      <c r="M123" s="54" t="s">
        <v>7</v>
      </c>
      <c r="N123" s="55" t="str">
        <f t="shared" si="11"/>
        <v>Serviço</v>
      </c>
      <c r="O123" s="56" t="s">
        <v>346</v>
      </c>
      <c r="P123" s="57" t="s">
        <v>62</v>
      </c>
      <c r="Q123" s="58" t="s">
        <v>192</v>
      </c>
      <c r="R123" s="59" t="s">
        <v>194</v>
      </c>
      <c r="S123" s="60" t="s">
        <v>141</v>
      </c>
      <c r="T123" s="61">
        <f t="shared" si="45"/>
        <v>70.85</v>
      </c>
      <c r="U123" s="62"/>
      <c r="V123" s="63" t="s">
        <v>10</v>
      </c>
      <c r="W123" s="61">
        <f t="shared" si="35"/>
        <v>0</v>
      </c>
      <c r="X123" s="64">
        <f>IF($C123="S",VTOTAL1,IF($C123=0,0,ROUND(SomaAgrup,15-13*$AF$11)))</f>
        <v>0</v>
      </c>
      <c r="Y123" s="65" t="s">
        <v>63</v>
      </c>
      <c r="Z123">
        <f t="shared" si="13"/>
      </c>
      <c r="AA123" s="66">
        <f>IF($C123="S",IF($Z123="CP",$X123,IF($Z123="RA",(($X123)*'[1]QCI'!$AA$3),0)),SomaAgrup)</f>
        <v>0</v>
      </c>
      <c r="AB123" s="67">
        <f t="shared" si="36"/>
        <v>0</v>
      </c>
      <c r="AC123" s="68">
        <f t="shared" si="37"/>
      </c>
      <c r="AD123" s="8">
        <f ca="1">IF(C123&lt;=CRONO.NivelExibicao,MAX($AD$15:OFFSET(AD123,-1,0))+IF($C123&lt;&gt;1,1,MAX(1,COUNTIF('[1]QCI'!$A$13:$A$24,OFFSET($E123,-1,0)))),"")</f>
      </c>
      <c r="AE123" s="18" t="str">
        <f t="shared" si="38"/>
        <v>SINAPI  92544 </v>
      </c>
      <c r="AF123" s="69" t="e">
        <f ca="1" t="shared" si="39"/>
        <v>#VALUE!</v>
      </c>
      <c r="AG123" s="70">
        <v>19.6</v>
      </c>
      <c r="AH123" s="71">
        <f t="shared" si="40"/>
        <v>0.2282</v>
      </c>
      <c r="AJ123" s="72">
        <v>70.85</v>
      </c>
      <c r="AL123" s="73"/>
      <c r="AM123" s="74">
        <f t="shared" si="0"/>
        <v>0</v>
      </c>
      <c r="AN123" s="75">
        <f t="shared" si="41"/>
        <v>0</v>
      </c>
    </row>
    <row r="124" spans="1:40" ht="60">
      <c r="A124" t="str">
        <f t="shared" si="34"/>
        <v>S</v>
      </c>
      <c r="B124">
        <f ca="1" t="shared" si="2"/>
        <v>2</v>
      </c>
      <c r="C124" t="str">
        <f ca="1" t="shared" si="3"/>
        <v>S</v>
      </c>
      <c r="D124">
        <f t="shared" si="4"/>
        <v>0</v>
      </c>
      <c r="E124" t="e">
        <f ca="1">IF($C124=1,OFFSET(E124,-1,0)+MAX(1,COUNTIF('[1]QCI'!$A$13:$A$24,OFFSET('[1]ORÇAMENTO'!E122,-1,0))),OFFSET(E124,-1,0))</f>
        <v>#VALUE!</v>
      </c>
      <c r="F124">
        <f ca="1" t="shared" si="5"/>
        <v>1</v>
      </c>
      <c r="G124">
        <f ca="1" t="shared" si="6"/>
        <v>0</v>
      </c>
      <c r="H124">
        <f ca="1" t="shared" si="7"/>
        <v>0</v>
      </c>
      <c r="I124">
        <f ca="1" t="shared" si="8"/>
        <v>0</v>
      </c>
      <c r="J124">
        <f ca="1" t="shared" si="42"/>
        <v>0</v>
      </c>
      <c r="K124">
        <f ca="1">IF(OR($C124="S",$C124=0),0,MATCH(OFFSET($D124,0,$C124)+IF($C124&lt;&gt;1,1,COUNTIF('[1]QCI'!$A$13:$A$24,'[1]ORÇAMENTO'!E122)),OFFSET($D124,1,$C124,ROW($C$223)-ROW($C124)),0))</f>
        <v>0</v>
      </c>
      <c r="L124" s="53">
        <f t="shared" si="10"/>
      </c>
      <c r="M124" s="54" t="s">
        <v>7</v>
      </c>
      <c r="N124" s="55" t="str">
        <f t="shared" si="11"/>
        <v>Serviço</v>
      </c>
      <c r="O124" s="56" t="s">
        <v>347</v>
      </c>
      <c r="P124" s="57" t="s">
        <v>62</v>
      </c>
      <c r="Q124" s="58" t="s">
        <v>152</v>
      </c>
      <c r="R124" s="59" t="s">
        <v>155</v>
      </c>
      <c r="S124" s="60" t="s">
        <v>141</v>
      </c>
      <c r="T124" s="61">
        <f t="shared" si="45"/>
        <v>70.85</v>
      </c>
      <c r="U124" s="62"/>
      <c r="V124" s="63" t="s">
        <v>10</v>
      </c>
      <c r="W124" s="61">
        <f t="shared" si="35"/>
        <v>0</v>
      </c>
      <c r="X124" s="64">
        <f>IF($C124="S",VTOTAL1,IF($C124=0,0,ROUND(SomaAgrup,15-13*$AF$11)))</f>
        <v>0</v>
      </c>
      <c r="Y124" s="65" t="s">
        <v>63</v>
      </c>
      <c r="Z124">
        <f t="shared" si="13"/>
      </c>
      <c r="AA124" s="66">
        <f>IF($C124="S",IF($Z124="CP",$X124,IF($Z124="RA",(($X124)*'[1]QCI'!$AA$3),0)),SomaAgrup)</f>
        <v>0</v>
      </c>
      <c r="AB124" s="67">
        <f t="shared" si="36"/>
        <v>0</v>
      </c>
      <c r="AC124" s="68">
        <f t="shared" si="37"/>
      </c>
      <c r="AD124" s="8">
        <f ca="1">IF(C124&lt;=CRONO.NivelExibicao,MAX($AD$15:OFFSET(AD124,-1,0))+IF($C124&lt;&gt;1,1,MAX(1,COUNTIF('[1]QCI'!$A$13:$A$24,OFFSET($E124,-1,0)))),"")</f>
      </c>
      <c r="AE124" s="18" t="str">
        <f t="shared" si="38"/>
        <v>SINAPI  94207 </v>
      </c>
      <c r="AF124" s="69" t="e">
        <f ca="1" t="shared" si="39"/>
        <v>#VALUE!</v>
      </c>
      <c r="AG124" s="70">
        <v>56.18</v>
      </c>
      <c r="AH124" s="71">
        <f t="shared" si="40"/>
        <v>0.2282</v>
      </c>
      <c r="AJ124" s="72">
        <v>70.85</v>
      </c>
      <c r="AL124" s="73"/>
      <c r="AM124" s="74">
        <f t="shared" si="0"/>
        <v>0</v>
      </c>
      <c r="AN124" s="75">
        <f t="shared" si="41"/>
        <v>0</v>
      </c>
    </row>
    <row r="125" spans="1:40" ht="15">
      <c r="A125">
        <f t="shared" si="34"/>
        <v>2</v>
      </c>
      <c r="B125">
        <f ca="1" t="shared" si="2"/>
        <v>2</v>
      </c>
      <c r="C125">
        <f ca="1" t="shared" si="3"/>
        <v>2</v>
      </c>
      <c r="D125">
        <f t="shared" si="4"/>
        <v>10</v>
      </c>
      <c r="E125" t="e">
        <f ca="1">IF($C125=1,OFFSET(E125,-1,0)+MAX(1,COUNTIF('[1]QCI'!$A$13:$A$24,OFFSET('[1]ORÇAMENTO'!E123,-1,0))),OFFSET(E125,-1,0))</f>
        <v>#VALUE!</v>
      </c>
      <c r="F125">
        <f ca="1" t="shared" si="5"/>
        <v>2</v>
      </c>
      <c r="G125">
        <f ca="1" t="shared" si="6"/>
        <v>0</v>
      </c>
      <c r="H125">
        <f ca="1" t="shared" si="7"/>
        <v>0</v>
      </c>
      <c r="I125">
        <f ca="1" t="shared" si="8"/>
        <v>0</v>
      </c>
      <c r="J125">
        <f ca="1" t="shared" si="42"/>
        <v>10</v>
      </c>
      <c r="K125">
        <f ca="1">IF(OR($C125="S",$C125=0),0,MATCH(OFFSET($D125,0,$C125)+IF($C125&lt;&gt;1,1,COUNTIF('[1]QCI'!$A$13:$A$24,'[1]ORÇAMENTO'!E123)),OFFSET($D125,1,$C125,ROW($C$223)-ROW($C125)),0))</f>
        <v>22</v>
      </c>
      <c r="L125" s="53" t="str">
        <f t="shared" si="10"/>
        <v>F</v>
      </c>
      <c r="M125" s="54" t="s">
        <v>4</v>
      </c>
      <c r="N125" s="55" t="str">
        <f t="shared" si="11"/>
        <v>Nível 2</v>
      </c>
      <c r="O125" s="56" t="s">
        <v>348</v>
      </c>
      <c r="P125" s="57" t="s">
        <v>62</v>
      </c>
      <c r="Q125" s="58"/>
      <c r="R125" s="59" t="s">
        <v>349</v>
      </c>
      <c r="S125" s="60" t="str">
        <f>REFERENCIA.Unidade</f>
        <v>-</v>
      </c>
      <c r="T125" s="61" t="e">
        <f ca="1">OFFSET('[1]CÁLCULO'!H$15,ROW($T125)-ROW(T$15),0)</f>
        <v>#VALUE!</v>
      </c>
      <c r="U125" s="62"/>
      <c r="V125" s="63" t="s">
        <v>10</v>
      </c>
      <c r="W125" s="61">
        <f t="shared" si="35"/>
        <v>0</v>
      </c>
      <c r="X125" s="64">
        <f>ROUND(SUM(X126:X134),2)</f>
        <v>0</v>
      </c>
      <c r="Y125" s="65" t="s">
        <v>63</v>
      </c>
      <c r="Z125">
        <f t="shared" si="13"/>
      </c>
      <c r="AA125" s="66">
        <f>IF($C125="S",IF($Z125="CP",$X125,IF($Z125="RA",(($X125)*'[1]QCI'!$AA$3),0)),SomaAgrup)</f>
        <v>0</v>
      </c>
      <c r="AB125" s="67">
        <f t="shared" si="36"/>
        <v>0</v>
      </c>
      <c r="AC125" s="68" t="e">
        <f t="shared" si="37"/>
        <v>#VALUE!</v>
      </c>
      <c r="AD125" s="8" t="e">
        <f ca="1">IF(C125&lt;=CRONO.NivelExibicao,MAX($AD$15:OFFSET(AD125,-1,0))+IF($C125&lt;&gt;1,1,MAX(1,COUNTIF('[1]QCI'!$A$13:$A$24,OFFSET($E125,-1,0)))),"")</f>
        <v>#VALUE!</v>
      </c>
      <c r="AE125" s="18" t="b">
        <f t="shared" si="38"/>
        <v>0</v>
      </c>
      <c r="AF125" s="69" t="e">
        <f ca="1" t="shared" si="39"/>
        <v>#VALUE!</v>
      </c>
      <c r="AG125" s="70" t="e">
        <f>ROUND(IF(DESONERACAO="sim",REFERENCIA.Desonerado,REFERENCIA.NaoDesonerado),2)</f>
        <v>#VALUE!</v>
      </c>
      <c r="AH125" s="71">
        <f t="shared" si="40"/>
        <v>0.2282</v>
      </c>
      <c r="AJ125" s="72"/>
      <c r="AL125" s="73"/>
      <c r="AM125" s="74">
        <f t="shared" si="0"/>
        <v>0</v>
      </c>
      <c r="AN125" s="75">
        <f t="shared" si="41"/>
        <v>0</v>
      </c>
    </row>
    <row r="126" spans="1:40" ht="45">
      <c r="A126" t="str">
        <f t="shared" si="34"/>
        <v>S</v>
      </c>
      <c r="B126">
        <f ca="1" t="shared" si="2"/>
        <v>2</v>
      </c>
      <c r="C126" t="str">
        <f ca="1" t="shared" si="3"/>
        <v>S</v>
      </c>
      <c r="D126">
        <f t="shared" si="4"/>
        <v>0</v>
      </c>
      <c r="E126" t="e">
        <f ca="1">IF($C126=1,OFFSET(E126,-1,0)+MAX(1,COUNTIF('[1]QCI'!$A$13:$A$24,OFFSET('[1]ORÇAMENTO'!E124,-1,0))),OFFSET(E126,-1,0))</f>
        <v>#VALUE!</v>
      </c>
      <c r="F126">
        <f ca="1" t="shared" si="5"/>
        <v>2</v>
      </c>
      <c r="G126">
        <f ca="1" t="shared" si="6"/>
        <v>0</v>
      </c>
      <c r="H126">
        <f ca="1" t="shared" si="7"/>
        <v>0</v>
      </c>
      <c r="I126">
        <f ca="1" t="shared" si="8"/>
        <v>0</v>
      </c>
      <c r="J126">
        <f ca="1" t="shared" si="42"/>
        <v>0</v>
      </c>
      <c r="K126">
        <f ca="1">IF(OR($C126="S",$C126=0),0,MATCH(OFFSET($D126,0,$C126)+IF($C126&lt;&gt;1,1,COUNTIF('[1]QCI'!$A$13:$A$24,'[1]ORÇAMENTO'!E124)),OFFSET($D126,1,$C126,ROW($C$223)-ROW($C126)),0))</f>
        <v>0</v>
      </c>
      <c r="L126" s="53">
        <f t="shared" si="10"/>
      </c>
      <c r="M126" s="54" t="s">
        <v>7</v>
      </c>
      <c r="N126" s="55" t="str">
        <f t="shared" si="11"/>
        <v>Serviço</v>
      </c>
      <c r="O126" s="56" t="s">
        <v>350</v>
      </c>
      <c r="P126" s="57" t="s">
        <v>62</v>
      </c>
      <c r="Q126" s="58" t="s">
        <v>195</v>
      </c>
      <c r="R126" s="59" t="s">
        <v>197</v>
      </c>
      <c r="S126" s="60" t="s">
        <v>142</v>
      </c>
      <c r="T126" s="61">
        <f aca="true" t="shared" si="46" ref="T126:T134">AJ126</f>
        <v>4</v>
      </c>
      <c r="U126" s="62"/>
      <c r="V126" s="63" t="s">
        <v>10</v>
      </c>
      <c r="W126" s="61">
        <f t="shared" si="35"/>
        <v>0</v>
      </c>
      <c r="X126" s="64">
        <f>IF($C126="S",VTOTAL1,IF($C126=0,0,ROUND(SomaAgrup,15-13*$AF$11)))</f>
        <v>0</v>
      </c>
      <c r="Y126" s="65" t="s">
        <v>63</v>
      </c>
      <c r="Z126">
        <f t="shared" si="13"/>
      </c>
      <c r="AA126" s="66">
        <f>IF($C126="S",IF($Z126="CP",$X126,IF($Z126="RA",(($X126)*'[1]QCI'!$AA$3),0)),SomaAgrup)</f>
        <v>0</v>
      </c>
      <c r="AB126" s="67">
        <f t="shared" si="36"/>
        <v>0</v>
      </c>
      <c r="AC126" s="68">
        <f t="shared" si="37"/>
      </c>
      <c r="AD126" s="8">
        <f ca="1">IF(C126&lt;=CRONO.NivelExibicao,MAX($AD$15:OFFSET(AD126,-1,0))+IF($C126&lt;&gt;1,1,MAX(1,COUNTIF('[1]QCI'!$A$13:$A$24,OFFSET($E126,-1,0)))),"")</f>
      </c>
      <c r="AE126" s="18" t="str">
        <f t="shared" si="38"/>
        <v>SINAPI  93128 </v>
      </c>
      <c r="AF126" s="69" t="e">
        <f ca="1" t="shared" si="39"/>
        <v>#VALUE!</v>
      </c>
      <c r="AG126" s="70">
        <v>145.54</v>
      </c>
      <c r="AH126" s="71">
        <f t="shared" si="40"/>
        <v>0.2282</v>
      </c>
      <c r="AJ126" s="72">
        <v>4</v>
      </c>
      <c r="AL126" s="73"/>
      <c r="AM126" s="74">
        <f t="shared" si="0"/>
        <v>0</v>
      </c>
      <c r="AN126" s="75">
        <f t="shared" si="41"/>
        <v>0</v>
      </c>
    </row>
    <row r="127" spans="1:40" ht="60">
      <c r="A127" t="str">
        <f t="shared" si="34"/>
        <v>S</v>
      </c>
      <c r="B127">
        <f ca="1" t="shared" si="2"/>
        <v>2</v>
      </c>
      <c r="C127" t="str">
        <f ca="1" t="shared" si="3"/>
        <v>S</v>
      </c>
      <c r="D127">
        <f t="shared" si="4"/>
        <v>0</v>
      </c>
      <c r="E127" t="e">
        <f ca="1">IF($C127=1,OFFSET(E127,-1,0)+MAX(1,COUNTIF('[1]QCI'!$A$13:$A$24,OFFSET('[1]ORÇAMENTO'!E125,-1,0))),OFFSET(E127,-1,0))</f>
        <v>#VALUE!</v>
      </c>
      <c r="F127">
        <f ca="1" t="shared" si="5"/>
        <v>2</v>
      </c>
      <c r="G127">
        <f ca="1" t="shared" si="6"/>
        <v>0</v>
      </c>
      <c r="H127">
        <f ca="1" t="shared" si="7"/>
        <v>0</v>
      </c>
      <c r="I127">
        <f ca="1" t="shared" si="8"/>
        <v>0</v>
      </c>
      <c r="J127">
        <f ca="1" t="shared" si="42"/>
        <v>0</v>
      </c>
      <c r="K127">
        <f ca="1">IF(OR($C127="S",$C127=0),0,MATCH(OFFSET($D127,0,$C127)+IF($C127&lt;&gt;1,1,COUNTIF('[1]QCI'!$A$13:$A$24,'[1]ORÇAMENTO'!E125)),OFFSET($D127,1,$C127,ROW($C$223)-ROW($C127)),0))</f>
        <v>0</v>
      </c>
      <c r="L127" s="53">
        <f t="shared" si="10"/>
      </c>
      <c r="M127" s="54" t="s">
        <v>7</v>
      </c>
      <c r="N127" s="55" t="str">
        <f t="shared" si="11"/>
        <v>Serviço</v>
      </c>
      <c r="O127" s="56" t="s">
        <v>351</v>
      </c>
      <c r="P127" s="57" t="s">
        <v>62</v>
      </c>
      <c r="Q127" s="58" t="s">
        <v>183</v>
      </c>
      <c r="R127" s="59" t="s">
        <v>187</v>
      </c>
      <c r="S127" s="60" t="s">
        <v>142</v>
      </c>
      <c r="T127" s="61">
        <f t="shared" si="46"/>
        <v>2</v>
      </c>
      <c r="U127" s="62"/>
      <c r="V127" s="63" t="s">
        <v>10</v>
      </c>
      <c r="W127" s="61">
        <f t="shared" si="35"/>
        <v>0</v>
      </c>
      <c r="X127" s="64">
        <f>IF($C127="S",VTOTAL1,IF($C127=0,0,ROUND(SomaAgrup,15-13*$AF$11)))</f>
        <v>0</v>
      </c>
      <c r="Y127" s="65" t="s">
        <v>63</v>
      </c>
      <c r="Z127">
        <f t="shared" si="13"/>
      </c>
      <c r="AA127" s="66">
        <f>IF($C127="S",IF($Z127="CP",$X127,IF($Z127="RA",(($X127)*'[1]QCI'!$AA$3),0)),SomaAgrup)</f>
        <v>0</v>
      </c>
      <c r="AB127" s="67">
        <f t="shared" si="36"/>
        <v>0</v>
      </c>
      <c r="AC127" s="68">
        <f t="shared" si="37"/>
      </c>
      <c r="AD127" s="8">
        <f ca="1">IF(C127&lt;=CRONO.NivelExibicao,MAX($AD$15:OFFSET(AD127,-1,0))+IF($C127&lt;&gt;1,1,MAX(1,COUNTIF('[1]QCI'!$A$13:$A$24,OFFSET($E127,-1,0)))),"")</f>
      </c>
      <c r="AE127" s="18" t="str">
        <f t="shared" si="38"/>
        <v>SINAPI  93137 </v>
      </c>
      <c r="AF127" s="69" t="e">
        <f ca="1" t="shared" si="39"/>
        <v>#VALUE!</v>
      </c>
      <c r="AG127" s="70">
        <v>171.58</v>
      </c>
      <c r="AH127" s="71">
        <f t="shared" si="40"/>
        <v>0.2282</v>
      </c>
      <c r="AJ127" s="72">
        <v>2</v>
      </c>
      <c r="AL127" s="73"/>
      <c r="AM127" s="74">
        <f t="shared" si="0"/>
        <v>0</v>
      </c>
      <c r="AN127" s="75">
        <f t="shared" si="41"/>
        <v>0</v>
      </c>
    </row>
    <row r="128" spans="1:40" ht="45">
      <c r="A128" t="str">
        <f>CHOOSE(1+LOG(1+2*(ORÇAMENTO.Nivel="Meta")+4*(ORÇAMENTO.Nivel="Nível 2")+8*(ORÇAMENTO.Nivel="Nível 3")+16*(ORÇAMENTO.Nivel="Nível 4")+32*(ORÇAMENTO.Nivel="Serviço"),2),0,1,2,3,4,"S")</f>
        <v>S</v>
      </c>
      <c r="B128">
        <f ca="1">IF(OR(C128="s",C128=0),OFFSET(B128,-1,0),C128)</f>
        <v>2</v>
      </c>
      <c r="C128" t="str">
        <f ca="1">IF(OFFSET(C128,-1,0)="L",1,IF(OFFSET(C128,-1,0)=1,2,IF(OR(A128="s",A128=0),"S",IF(AND(OFFSET(C128,-1,0)=2,A128=4),3,IF(AND(OR(OFFSET(C128,-1,0)="s",OFFSET(C128,-1,0)=0),A128&lt;&gt;"s",A128&gt;OFFSET(B128,-1,0)),OFFSET(B128,-1,0),A128)))))</f>
        <v>S</v>
      </c>
      <c r="D128">
        <f>IF(OR(C128="S",C128=0),0,IF(ISERROR(K128),J128,SMALL(J128:K128,1)))</f>
        <v>0</v>
      </c>
      <c r="E128" t="e">
        <f ca="1">IF($C128=1,OFFSET(E128,-1,0)+MAX(1,COUNTIF('[1]QCI'!$A$13:$A$24,OFFSET('[1]ORÇAMENTO'!E126,-1,0))),OFFSET(E128,-1,0))</f>
        <v>#VALUE!</v>
      </c>
      <c r="F128">
        <f ca="1">IF($C128=1,0,IF($C128=2,OFFSET(F128,-1,0)+1,OFFSET(F128,-1,0)))</f>
        <v>2</v>
      </c>
      <c r="G128">
        <f ca="1">IF(AND($C128&lt;=2,$C128&lt;&gt;0),0,IF($C128=3,OFFSET(G128,-1,0)+1,OFFSET(G128,-1,0)))</f>
        <v>0</v>
      </c>
      <c r="H128">
        <f ca="1">IF(AND($C128&lt;=3,$C128&lt;&gt;0),0,IF($C128=4,OFFSET(H128,-1,0)+1,OFFSET(H128,-1,0)))</f>
        <v>0</v>
      </c>
      <c r="I128">
        <f ca="1">IF(AND($C128&lt;=4,$C128&lt;&gt;0),0,IF(AND($C128="S",$X128&gt;0),OFFSET(I128,-1,0)+1,OFFSET(I128,-1,0)))</f>
        <v>0</v>
      </c>
      <c r="J128">
        <f ca="1" t="shared" si="42"/>
        <v>0</v>
      </c>
      <c r="K128">
        <f ca="1">IF(OR($C128="S",$C128=0),0,MATCH(OFFSET($D128,0,$C128)+IF($C128&lt;&gt;1,1,COUNTIF('[1]QCI'!$A$13:$A$24,'[1]ORÇAMENTO'!E126)),OFFSET($D128,1,$C128,ROW($C$223)-ROW($C128)),0))</f>
        <v>0</v>
      </c>
      <c r="L128" s="53">
        <f>IF(OR($X128&gt;0,$C128=1,$C128=2,$C128=3,$C128=4),"F","")</f>
      </c>
      <c r="M128" s="54" t="s">
        <v>7</v>
      </c>
      <c r="N128" s="55" t="str">
        <f>CHOOSE(1+LOG(1+2*(C128=1)+4*(C128=2)+8*(C128=3)+16*(C128=4)+32*(C128="S"),2),"","Meta","Nível 2","Nível 3","Nível 4","Serviço")</f>
        <v>Serviço</v>
      </c>
      <c r="O128" s="56" t="s">
        <v>352</v>
      </c>
      <c r="P128" s="57" t="s">
        <v>62</v>
      </c>
      <c r="Q128" s="58" t="s">
        <v>196</v>
      </c>
      <c r="R128" s="59" t="s">
        <v>198</v>
      </c>
      <c r="S128" s="60" t="s">
        <v>142</v>
      </c>
      <c r="T128" s="61">
        <f t="shared" si="46"/>
        <v>16</v>
      </c>
      <c r="U128" s="62"/>
      <c r="V128" s="63" t="s">
        <v>10</v>
      </c>
      <c r="W128" s="61">
        <f>IF($C128="S",ROUND(IF(TIPOORCAMENTO="Proposto",ORÇAMENTO.CustoUnitario*(1+$AH128),ORÇAMENTO.PrecoUnitarioLicitado),15-13*$AF$10),0)</f>
        <v>0</v>
      </c>
      <c r="X128" s="64">
        <f>IF($C128="S",VTOTAL1,IF($C128=0,0,ROUND(SomaAgrup,15-13*$AF$11)))</f>
        <v>0</v>
      </c>
      <c r="Y128" s="65" t="s">
        <v>63</v>
      </c>
      <c r="Z128">
        <f>IF(AND($C128="S",$X128&gt;0),IF(ISBLANK($Y128),"RA",LEFT($Y128,2)),"")</f>
      </c>
      <c r="AA128" s="66">
        <f>IF($C128="S",IF($Z128="CP",$X128,IF($Z128="RA",(($X128)*'[1]QCI'!$AA$3),0)),SomaAgrup)</f>
        <v>0</v>
      </c>
      <c r="AB128" s="67">
        <f>IF($C128="S",IF($Z128="OU",ROUND($X128,2),0),SomaAgrup)</f>
        <v>0</v>
      </c>
      <c r="AC128" s="68">
        <f>IF($N128="","",IF(ORÇAMENTO.Descricao="","DESCRIÇÃO",IF(AND($C128="S",ORÇAMENTO.Unidade=""),"UNIDADE",IF($X128&lt;0,"VALOR NEGATIVO",IF(OR(AND(TIPOORCAMENTO="Proposto",$AG128&lt;&gt;"",$AG128&gt;0,ORÇAMENTO.CustoUnitario&gt;$AG128),AND(TIPOORCAMENTO="LICITADO",ORÇAMENTO.PrecoUnitarioLicitado&gt;$AN128)),"ACIMA REF.","")))))</f>
      </c>
      <c r="AD128" s="8">
        <f ca="1">IF(C128&lt;=CRONO.NivelExibicao,MAX($AD$15:OFFSET(AD128,-1,0))+IF($C128&lt;&gt;1,1,MAX(1,COUNTIF('[1]QCI'!$A$13:$A$24,OFFSET($E128,-1,0)))),"")</f>
      </c>
      <c r="AE128" s="18" t="str">
        <f>IF(AND($C128="S",ORÇAMENTO.CodBarra&lt;&gt;""),IF(ORÇAMENTO.Fonte="",ORÇAMENTO.CodBarra,CONCATENATE(ORÇAMENTO.Fonte," ",ORÇAMENTO.CodBarra)))</f>
        <v>SINAPI  93141 </v>
      </c>
      <c r="AF128" s="69" t="e">
        <f ca="1">IF(ISERROR(INDIRECT(ORÇAMENTO.BancoRef)),"(abra o arquivo 'Referência "&amp;Excel_BuiltIn_Database&amp;".xls)",IF(OR($C128&lt;&gt;"S",ORÇAMENTO.CodBarra=""),"(Sem Código)",IF(ISERROR(MATCH($AE128,INDIRECT(ORÇAMENTO.BancoRef),0)),"(Código não identificado nas referências)",MATCH($AE128,INDIRECT(ORÇAMENTO.BancoRef),0))))</f>
        <v>#VALUE!</v>
      </c>
      <c r="AG128" s="70">
        <v>177.24</v>
      </c>
      <c r="AH128" s="71">
        <f>ROUND(IF(ISNUMBER(ORÇAMENTO.OpcaoBDI),ORÇAMENTO.OpcaoBDI,IF(LEFT(ORÇAMENTO.OpcaoBDI,3)="BDI",HLOOKUP(ORÇAMENTO.OpcaoBDI,$F$4:$H$5,2,FALSE),0)),15-11*$AF$9)</f>
        <v>0.2282</v>
      </c>
      <c r="AJ128" s="72">
        <v>16</v>
      </c>
      <c r="AL128" s="73"/>
      <c r="AM128" s="74">
        <f t="shared" si="0"/>
        <v>0</v>
      </c>
      <c r="AN128" s="75">
        <f>ROUND(ORÇAMENTO.CustoUnitario*(1+$AH128),2)</f>
        <v>0</v>
      </c>
    </row>
    <row r="129" spans="1:40" ht="30">
      <c r="A129" t="str">
        <f t="shared" si="34"/>
        <v>S</v>
      </c>
      <c r="B129">
        <f ca="1" t="shared" si="2"/>
        <v>2</v>
      </c>
      <c r="C129" t="str">
        <f ca="1" t="shared" si="3"/>
        <v>S</v>
      </c>
      <c r="D129">
        <f t="shared" si="4"/>
        <v>0</v>
      </c>
      <c r="E129" t="e">
        <f ca="1">IF($C129=1,OFFSET(E129,-1,0)+MAX(1,COUNTIF('[1]QCI'!$A$13:$A$24,OFFSET('[1]ORÇAMENTO'!E127,-1,0))),OFFSET(E129,-1,0))</f>
        <v>#VALUE!</v>
      </c>
      <c r="F129">
        <f ca="1" t="shared" si="5"/>
        <v>2</v>
      </c>
      <c r="G129">
        <f ca="1" t="shared" si="6"/>
        <v>0</v>
      </c>
      <c r="H129">
        <f ca="1" t="shared" si="7"/>
        <v>0</v>
      </c>
      <c r="I129">
        <f ca="1" t="shared" si="8"/>
        <v>0</v>
      </c>
      <c r="J129">
        <f ca="1" t="shared" si="42"/>
        <v>0</v>
      </c>
      <c r="K129">
        <f ca="1">IF(OR($C129="S",$C129=0),0,MATCH(OFFSET($D129,0,$C129)+IF($C129&lt;&gt;1,1,COUNTIF('[1]QCI'!$A$13:$A$24,'[1]ORÇAMENTO'!E127)),OFFSET($D129,1,$C129,ROW($C$223)-ROW($C129)),0))</f>
        <v>0</v>
      </c>
      <c r="L129" s="53">
        <f t="shared" si="10"/>
      </c>
      <c r="M129" s="54" t="s">
        <v>7</v>
      </c>
      <c r="N129" s="55" t="str">
        <f t="shared" si="11"/>
        <v>Serviço</v>
      </c>
      <c r="O129" s="56" t="s">
        <v>353</v>
      </c>
      <c r="P129" s="57" t="s">
        <v>62</v>
      </c>
      <c r="Q129" s="58" t="s">
        <v>166</v>
      </c>
      <c r="R129" s="59" t="s">
        <v>172</v>
      </c>
      <c r="S129" s="60" t="s">
        <v>142</v>
      </c>
      <c r="T129" s="61">
        <f t="shared" si="46"/>
        <v>14</v>
      </c>
      <c r="U129" s="62"/>
      <c r="V129" s="63" t="s">
        <v>10</v>
      </c>
      <c r="W129" s="61">
        <f t="shared" si="35"/>
        <v>0</v>
      </c>
      <c r="X129" s="64">
        <f>IF($C129="S",VTOTAL1,IF($C129=0,0,ROUND(SomaAgrup,15-13*$AF$11)))</f>
        <v>0</v>
      </c>
      <c r="Y129" s="65" t="s">
        <v>63</v>
      </c>
      <c r="Z129">
        <f t="shared" si="13"/>
      </c>
      <c r="AA129" s="66">
        <f>IF($C129="S",IF($Z129="CP",$X129,IF($Z129="RA",(($X129)*'[1]QCI'!$AA$3),0)),SomaAgrup)</f>
        <v>0</v>
      </c>
      <c r="AB129" s="67">
        <f t="shared" si="36"/>
        <v>0</v>
      </c>
      <c r="AC129" s="68">
        <f t="shared" si="37"/>
      </c>
      <c r="AD129" s="8">
        <f ca="1">IF(C129&lt;=CRONO.NivelExibicao,MAX($AD$15:OFFSET(AD129,-1,0))+IF($C129&lt;&gt;1,1,MAX(1,COUNTIF('[1]QCI'!$A$13:$A$24,OFFSET($E129,-1,0)))),"")</f>
      </c>
      <c r="AE129" s="18" t="str">
        <f t="shared" si="38"/>
        <v>SINAPI  103782 </v>
      </c>
      <c r="AF129" s="69" t="e">
        <f ca="1" t="shared" si="39"/>
        <v>#VALUE!</v>
      </c>
      <c r="AG129" s="70">
        <v>40.7</v>
      </c>
      <c r="AH129" s="71">
        <f t="shared" si="40"/>
        <v>0.2282</v>
      </c>
      <c r="AJ129" s="72">
        <v>14</v>
      </c>
      <c r="AL129" s="73"/>
      <c r="AM129" s="74">
        <f t="shared" si="0"/>
        <v>0</v>
      </c>
      <c r="AN129" s="75">
        <f t="shared" si="41"/>
        <v>0</v>
      </c>
    </row>
    <row r="130" spans="1:40" ht="45">
      <c r="A130" t="str">
        <f t="shared" si="34"/>
        <v>S</v>
      </c>
      <c r="B130">
        <f ca="1" t="shared" si="2"/>
        <v>2</v>
      </c>
      <c r="C130" t="str">
        <f ca="1" t="shared" si="3"/>
        <v>S</v>
      </c>
      <c r="D130">
        <f t="shared" si="4"/>
        <v>0</v>
      </c>
      <c r="E130" t="e">
        <f ca="1">IF($C130=1,OFFSET(E130,-1,0)+MAX(1,COUNTIF('[1]QCI'!$A$13:$A$24,OFFSET('[1]ORÇAMENTO'!E128,-1,0))),OFFSET(E130,-1,0))</f>
        <v>#VALUE!</v>
      </c>
      <c r="F130">
        <f ca="1" t="shared" si="5"/>
        <v>2</v>
      </c>
      <c r="G130">
        <f ca="1" t="shared" si="6"/>
        <v>0</v>
      </c>
      <c r="H130">
        <f ca="1" t="shared" si="7"/>
        <v>0</v>
      </c>
      <c r="I130">
        <f ca="1" t="shared" si="8"/>
        <v>0</v>
      </c>
      <c r="J130">
        <f ca="1" t="shared" si="42"/>
        <v>0</v>
      </c>
      <c r="K130">
        <f ca="1">IF(OR($C130="S",$C130=0),0,MATCH(OFFSET($D130,0,$C130)+IF($C130&lt;&gt;1,1,COUNTIF('[1]QCI'!$A$13:$A$24,'[1]ORÇAMENTO'!E128)),OFFSET($D130,1,$C130,ROW($C$223)-ROW($C130)),0))</f>
        <v>0</v>
      </c>
      <c r="L130" s="53">
        <f t="shared" si="10"/>
      </c>
      <c r="M130" s="54" t="s">
        <v>7</v>
      </c>
      <c r="N130" s="55" t="str">
        <f t="shared" si="11"/>
        <v>Serviço</v>
      </c>
      <c r="O130" s="56" t="s">
        <v>354</v>
      </c>
      <c r="P130" s="57" t="s">
        <v>68</v>
      </c>
      <c r="Q130" s="58" t="s">
        <v>82</v>
      </c>
      <c r="R130" s="59" t="s">
        <v>149</v>
      </c>
      <c r="S130" s="60" t="str">
        <f>REFERENCIA.Unidade</f>
        <v>-</v>
      </c>
      <c r="T130" s="61">
        <f t="shared" si="46"/>
        <v>1</v>
      </c>
      <c r="U130" s="62"/>
      <c r="V130" s="63" t="s">
        <v>10</v>
      </c>
      <c r="W130" s="61">
        <f t="shared" si="35"/>
        <v>0</v>
      </c>
      <c r="X130" s="64">
        <f>IF($C130="S",VTOTAL1,IF($C130=0,0,ROUND(SomaAgrup,15-13*$AF$11)))</f>
        <v>0</v>
      </c>
      <c r="Y130" s="65" t="s">
        <v>63</v>
      </c>
      <c r="Z130">
        <f t="shared" si="13"/>
      </c>
      <c r="AA130" s="66">
        <f>IF($C130="S",IF($Z130="CP",$X130,IF($Z130="RA",(($X130)*'[1]QCI'!$AA$3),0)),SomaAgrup)</f>
        <v>0</v>
      </c>
      <c r="AB130" s="67">
        <f t="shared" si="36"/>
        <v>0</v>
      </c>
      <c r="AC130" s="68">
        <f t="shared" si="37"/>
      </c>
      <c r="AD130" s="8">
        <f ca="1">IF(C130&lt;=CRONO.NivelExibicao,MAX($AD$15:OFFSET(AD130,-1,0))+IF($C130&lt;&gt;1,1,MAX(1,COUNTIF('[1]QCI'!$A$13:$A$24,OFFSET($E130,-1,0)))),"")</f>
      </c>
      <c r="AE130" s="18" t="str">
        <f t="shared" si="38"/>
        <v>Composição 005</v>
      </c>
      <c r="AF130" s="69" t="e">
        <f ca="1" t="shared" si="39"/>
        <v>#VALUE!</v>
      </c>
      <c r="AG130" s="70">
        <v>144.64</v>
      </c>
      <c r="AH130" s="71">
        <f t="shared" si="40"/>
        <v>0.2282</v>
      </c>
      <c r="AJ130" s="72">
        <v>1</v>
      </c>
      <c r="AL130" s="73"/>
      <c r="AM130" s="74">
        <f t="shared" si="0"/>
        <v>0</v>
      </c>
      <c r="AN130" s="75">
        <f t="shared" si="41"/>
        <v>0</v>
      </c>
    </row>
    <row r="131" spans="1:40" ht="30">
      <c r="A131" t="str">
        <f>CHOOSE(1+LOG(1+2*(ORÇAMENTO.Nivel="Meta")+4*(ORÇAMENTO.Nivel="Nível 2")+8*(ORÇAMENTO.Nivel="Nível 3")+16*(ORÇAMENTO.Nivel="Nível 4")+32*(ORÇAMENTO.Nivel="Serviço"),2),0,1,2,3,4,"S")</f>
        <v>S</v>
      </c>
      <c r="B131">
        <f ca="1">IF(OR(C131="s",C131=0),OFFSET(B131,-1,0),C131)</f>
        <v>2</v>
      </c>
      <c r="C131" t="str">
        <f ca="1">IF(OFFSET(C131,-1,0)="L",1,IF(OFFSET(C131,-1,0)=1,2,IF(OR(A131="s",A131=0),"S",IF(AND(OFFSET(C131,-1,0)=2,A131=4),3,IF(AND(OR(OFFSET(C131,-1,0)="s",OFFSET(C131,-1,0)=0),A131&lt;&gt;"s",A131&gt;OFFSET(B131,-1,0)),OFFSET(B131,-1,0),A131)))))</f>
        <v>S</v>
      </c>
      <c r="D131">
        <f>IF(OR(C131="S",C131=0),0,IF(ISERROR(K131),J131,SMALL(J131:K131,1)))</f>
        <v>0</v>
      </c>
      <c r="E131" t="e">
        <f ca="1">IF($C131=1,OFFSET(E131,-1,0)+MAX(1,COUNTIF('[1]QCI'!$A$13:$A$24,OFFSET('[1]ORÇAMENTO'!E129,-1,0))),OFFSET(E131,-1,0))</f>
        <v>#VALUE!</v>
      </c>
      <c r="F131">
        <f ca="1">IF($C131=1,0,IF($C131=2,OFFSET(F131,-1,0)+1,OFFSET(F131,-1,0)))</f>
        <v>2</v>
      </c>
      <c r="G131">
        <f ca="1">IF(AND($C131&lt;=2,$C131&lt;&gt;0),0,IF($C131=3,OFFSET(G131,-1,0)+1,OFFSET(G131,-1,0)))</f>
        <v>0</v>
      </c>
      <c r="H131">
        <f ca="1">IF(AND($C131&lt;=3,$C131&lt;&gt;0),0,IF($C131=4,OFFSET(H131,-1,0)+1,OFFSET(H131,-1,0)))</f>
        <v>0</v>
      </c>
      <c r="I131">
        <f ca="1">IF(AND($C131&lt;=4,$C131&lt;&gt;0),0,IF(AND($C131="S",$X131&gt;0),OFFSET(I131,-1,0)+1,OFFSET(I131,-1,0)))</f>
        <v>0</v>
      </c>
      <c r="J131">
        <f ca="1" t="shared" si="42"/>
        <v>0</v>
      </c>
      <c r="K131">
        <f ca="1">IF(OR($C131="S",$C131=0),0,MATCH(OFFSET($D131,0,$C131)+IF($C131&lt;&gt;1,1,COUNTIF('[1]QCI'!$A$13:$A$24,'[1]ORÇAMENTO'!E129)),OFFSET($D131,1,$C131,ROW($C$223)-ROW($C131)),0))</f>
        <v>0</v>
      </c>
      <c r="L131" s="53">
        <f>IF(OR($X131&gt;0,$C131=1,$C131=2,$C131=3,$C131=4),"F","")</f>
      </c>
      <c r="M131" s="54" t="s">
        <v>7</v>
      </c>
      <c r="N131" s="55" t="str">
        <f>CHOOSE(1+LOG(1+2*(C131=1)+4*(C131=2)+8*(C131=3)+16*(C131=4)+32*(C131="S"),2),"","Meta","Nível 2","Nível 3","Nível 4","Serviço")</f>
        <v>Serviço</v>
      </c>
      <c r="O131" s="56" t="s">
        <v>355</v>
      </c>
      <c r="P131" s="57" t="s">
        <v>62</v>
      </c>
      <c r="Q131" s="58" t="s">
        <v>180</v>
      </c>
      <c r="R131" s="59" t="s">
        <v>184</v>
      </c>
      <c r="S131" s="60" t="s">
        <v>142</v>
      </c>
      <c r="T131" s="61">
        <f t="shared" si="46"/>
        <v>1</v>
      </c>
      <c r="U131" s="62"/>
      <c r="V131" s="63" t="s">
        <v>10</v>
      </c>
      <c r="W131" s="61">
        <f>IF($C131="S",ROUND(IF(TIPOORCAMENTO="Proposto",ORÇAMENTO.CustoUnitario*(1+$AH131),ORÇAMENTO.PrecoUnitarioLicitado),15-13*$AF$10),0)</f>
        <v>0</v>
      </c>
      <c r="X131" s="64">
        <f>IF($C131="S",VTOTAL1,IF($C131=0,0,ROUND(SomaAgrup,15-13*$AF$11)))</f>
        <v>0</v>
      </c>
      <c r="Y131" s="65" t="s">
        <v>63</v>
      </c>
      <c r="Z131">
        <f>IF(AND($C131="S",$X131&gt;0),IF(ISBLANK($Y131),"RA",LEFT($Y131,2)),"")</f>
      </c>
      <c r="AA131" s="66">
        <f>IF($C131="S",IF($Z131="CP",$X131,IF($Z131="RA",(($X131)*'[1]QCI'!$AA$3),0)),SomaAgrup)</f>
        <v>0</v>
      </c>
      <c r="AB131" s="67">
        <f>IF($C131="S",IF($Z131="OU",ROUND($X131,2),0),SomaAgrup)</f>
        <v>0</v>
      </c>
      <c r="AC131" s="68">
        <f>IF($N131="","",IF(ORÇAMENTO.Descricao="","DESCRIÇÃO",IF(AND($C131="S",ORÇAMENTO.Unidade=""),"UNIDADE",IF($X131&lt;0,"VALOR NEGATIVO",IF(OR(AND(TIPOORCAMENTO="Proposto",$AG131&lt;&gt;"",$AG131&gt;0,ORÇAMENTO.CustoUnitario&gt;$AG131),AND(TIPOORCAMENTO="LICITADO",ORÇAMENTO.PrecoUnitarioLicitado&gt;$AN131)),"ACIMA REF.","")))))</f>
      </c>
      <c r="AD131" s="8">
        <f ca="1">IF(C131&lt;=CRONO.NivelExibicao,MAX($AD$15:OFFSET(AD131,-1,0))+IF($C131&lt;&gt;1,1,MAX(1,COUNTIF('[1]QCI'!$A$13:$A$24,OFFSET($E131,-1,0)))),"")</f>
      </c>
      <c r="AE131" s="18" t="str">
        <f>IF(AND($C131="S",ORÇAMENTO.CodBarra&lt;&gt;""),IF(ORÇAMENTO.Fonte="",ORÇAMENTO.CodBarra,CONCATENATE(ORÇAMENTO.Fonte," ",ORÇAMENTO.CodBarra)))</f>
        <v>SINAPI  93653 </v>
      </c>
      <c r="AF131" s="69" t="e">
        <f ca="1">IF(ISERROR(INDIRECT(ORÇAMENTO.BancoRef)),"(abra o arquivo 'Referência "&amp;Excel_BuiltIn_Database&amp;".xls)",IF(OR($C131&lt;&gt;"S",ORÇAMENTO.CodBarra=""),"(Sem Código)",IF(ISERROR(MATCH($AE131,INDIRECT(ORÇAMENTO.BancoRef),0)),"(Código não identificado nas referências)",MATCH($AE131,INDIRECT(ORÇAMENTO.BancoRef),0))))</f>
        <v>#VALUE!</v>
      </c>
      <c r="AG131" s="70">
        <v>12.37</v>
      </c>
      <c r="AH131" s="71">
        <f>ROUND(IF(ISNUMBER(ORÇAMENTO.OpcaoBDI),ORÇAMENTO.OpcaoBDI,IF(LEFT(ORÇAMENTO.OpcaoBDI,3)="BDI",HLOOKUP(ORÇAMENTO.OpcaoBDI,$F$4:$H$5,2,FALSE),0)),15-11*$AF$9)</f>
        <v>0.2282</v>
      </c>
      <c r="AJ131" s="72">
        <v>1</v>
      </c>
      <c r="AL131" s="73"/>
      <c r="AM131" s="74">
        <f t="shared" si="0"/>
        <v>0</v>
      </c>
      <c r="AN131" s="75">
        <f>ROUND(ORÇAMENTO.CustoUnitario*(1+$AH131),2)</f>
        <v>0</v>
      </c>
    </row>
    <row r="132" spans="1:40" ht="30">
      <c r="A132" t="str">
        <f>CHOOSE(1+LOG(1+2*(ORÇAMENTO.Nivel="Meta")+4*(ORÇAMENTO.Nivel="Nível 2")+8*(ORÇAMENTO.Nivel="Nível 3")+16*(ORÇAMENTO.Nivel="Nível 4")+32*(ORÇAMENTO.Nivel="Serviço"),2),0,1,2,3,4,"S")</f>
        <v>S</v>
      </c>
      <c r="B132">
        <f ca="1">IF(OR(C132="s",C132=0),OFFSET(B132,-1,0),C132)</f>
        <v>2</v>
      </c>
      <c r="C132" t="str">
        <f ca="1">IF(OFFSET(C132,-1,0)="L",1,IF(OFFSET(C132,-1,0)=1,2,IF(OR(A132="s",A132=0),"S",IF(AND(OFFSET(C132,-1,0)=2,A132=4),3,IF(AND(OR(OFFSET(C132,-1,0)="s",OFFSET(C132,-1,0)=0),A132&lt;&gt;"s",A132&gt;OFFSET(B132,-1,0)),OFFSET(B132,-1,0),A132)))))</f>
        <v>S</v>
      </c>
      <c r="D132">
        <f>IF(OR(C132="S",C132=0),0,IF(ISERROR(K132),J132,SMALL(J132:K132,1)))</f>
        <v>0</v>
      </c>
      <c r="E132" t="e">
        <f ca="1">IF($C132=1,OFFSET(E132,-1,0)+MAX(1,COUNTIF('[1]QCI'!$A$13:$A$24,OFFSET('[1]ORÇAMENTO'!E130,-1,0))),OFFSET(E132,-1,0))</f>
        <v>#VALUE!</v>
      </c>
      <c r="F132">
        <f ca="1">IF($C132=1,0,IF($C132=2,OFFSET(F132,-1,0)+1,OFFSET(F132,-1,0)))</f>
        <v>2</v>
      </c>
      <c r="G132">
        <f ca="1">IF(AND($C132&lt;=2,$C132&lt;&gt;0),0,IF($C132=3,OFFSET(G132,-1,0)+1,OFFSET(G132,-1,0)))</f>
        <v>0</v>
      </c>
      <c r="H132">
        <f ca="1">IF(AND($C132&lt;=3,$C132&lt;&gt;0),0,IF($C132=4,OFFSET(H132,-1,0)+1,OFFSET(H132,-1,0)))</f>
        <v>0</v>
      </c>
      <c r="I132">
        <f ca="1">IF(AND($C132&lt;=4,$C132&lt;&gt;0),0,IF(AND($C132="S",$X132&gt;0),OFFSET(I132,-1,0)+1,OFFSET(I132,-1,0)))</f>
        <v>0</v>
      </c>
      <c r="J132">
        <f ca="1" t="shared" si="42"/>
        <v>0</v>
      </c>
      <c r="K132">
        <f ca="1">IF(OR($C132="S",$C132=0),0,MATCH(OFFSET($D132,0,$C132)+IF($C132&lt;&gt;1,1,COUNTIF('[1]QCI'!$A$13:$A$24,'[1]ORÇAMENTO'!E130)),OFFSET($D132,1,$C132,ROW($C$223)-ROW($C132)),0))</f>
        <v>0</v>
      </c>
      <c r="L132" s="53">
        <f>IF(OR($X132&gt;0,$C132=1,$C132=2,$C132=3,$C132=4),"F","")</f>
      </c>
      <c r="M132" s="54" t="s">
        <v>7</v>
      </c>
      <c r="N132" s="55" t="str">
        <f>CHOOSE(1+LOG(1+2*(C132=1)+4*(C132=2)+8*(C132=3)+16*(C132=4)+32*(C132="S"),2),"","Meta","Nível 2","Nível 3","Nível 4","Serviço")</f>
        <v>Serviço</v>
      </c>
      <c r="O132" s="56" t="s">
        <v>356</v>
      </c>
      <c r="P132" s="57" t="s">
        <v>62</v>
      </c>
      <c r="Q132" s="58" t="s">
        <v>181</v>
      </c>
      <c r="R132" s="59" t="s">
        <v>185</v>
      </c>
      <c r="S132" s="60" t="s">
        <v>142</v>
      </c>
      <c r="T132" s="61">
        <f t="shared" si="46"/>
        <v>1</v>
      </c>
      <c r="U132" s="62"/>
      <c r="V132" s="63" t="s">
        <v>10</v>
      </c>
      <c r="W132" s="61">
        <f>IF($C132="S",ROUND(IF(TIPOORCAMENTO="Proposto",ORÇAMENTO.CustoUnitario*(1+$AH132),ORÇAMENTO.PrecoUnitarioLicitado),15-13*$AF$10),0)</f>
        <v>0</v>
      </c>
      <c r="X132" s="64">
        <f>IF($C132="S",VTOTAL1,IF($C132=0,0,ROUND(SomaAgrup,15-13*$AF$11)))</f>
        <v>0</v>
      </c>
      <c r="Y132" s="65" t="s">
        <v>63</v>
      </c>
      <c r="Z132">
        <f>IF(AND($C132="S",$X132&gt;0),IF(ISBLANK($Y132),"RA",LEFT($Y132,2)),"")</f>
      </c>
      <c r="AA132" s="66">
        <f>IF($C132="S",IF($Z132="CP",$X132,IF($Z132="RA",(($X132)*'[1]QCI'!$AA$3),0)),SomaAgrup)</f>
        <v>0</v>
      </c>
      <c r="AB132" s="67">
        <f>IF($C132="S",IF($Z132="OU",ROUND($X132,2),0),SomaAgrup)</f>
        <v>0</v>
      </c>
      <c r="AC132" s="68">
        <f>IF($N132="","",IF(ORÇAMENTO.Descricao="","DESCRIÇÃO",IF(AND($C132="S",ORÇAMENTO.Unidade=""),"UNIDADE",IF($X132&lt;0,"VALOR NEGATIVO",IF(OR(AND(TIPOORCAMENTO="Proposto",$AG132&lt;&gt;"",$AG132&gt;0,ORÇAMENTO.CustoUnitario&gt;$AG132),AND(TIPOORCAMENTO="LICITADO",ORÇAMENTO.PrecoUnitarioLicitado&gt;$AN132)),"ACIMA REF.","")))))</f>
      </c>
      <c r="AD132" s="8">
        <f ca="1">IF(C132&lt;=CRONO.NivelExibicao,MAX($AD$15:OFFSET(AD132,-1,0))+IF($C132&lt;&gt;1,1,MAX(1,COUNTIF('[1]QCI'!$A$13:$A$24,OFFSET($E132,-1,0)))),"")</f>
      </c>
      <c r="AE132" s="18" t="str">
        <f>IF(AND($C132="S",ORÇAMENTO.CodBarra&lt;&gt;""),IF(ORÇAMENTO.Fonte="",ORÇAMENTO.CodBarra,CONCATENATE(ORÇAMENTO.Fonte," ",ORÇAMENTO.CodBarra)))</f>
        <v>SINAPI  93662 </v>
      </c>
      <c r="AF132" s="69" t="e">
        <f ca="1">IF(ISERROR(INDIRECT(ORÇAMENTO.BancoRef)),"(abra o arquivo 'Referência "&amp;Excel_BuiltIn_Database&amp;".xls)",IF(OR($C132&lt;&gt;"S",ORÇAMENTO.CodBarra=""),"(Sem Código)",IF(ISERROR(MATCH($AE132,INDIRECT(ORÇAMENTO.BancoRef),0)),"(Código não identificado nas referências)",MATCH($AE132,INDIRECT(ORÇAMENTO.BancoRef),0))))</f>
        <v>#VALUE!</v>
      </c>
      <c r="AG132" s="70">
        <v>64.39</v>
      </c>
      <c r="AH132" s="71">
        <f>ROUND(IF(ISNUMBER(ORÇAMENTO.OpcaoBDI),ORÇAMENTO.OpcaoBDI,IF(LEFT(ORÇAMENTO.OpcaoBDI,3)="BDI",HLOOKUP(ORÇAMENTO.OpcaoBDI,$F$4:$H$5,2,FALSE),0)),15-11*$AF$9)</f>
        <v>0.2282</v>
      </c>
      <c r="AJ132" s="72">
        <v>1</v>
      </c>
      <c r="AL132" s="73"/>
      <c r="AM132" s="74">
        <f t="shared" si="0"/>
        <v>0</v>
      </c>
      <c r="AN132" s="75">
        <f>ROUND(ORÇAMENTO.CustoUnitario*(1+$AH132),2)</f>
        <v>0</v>
      </c>
    </row>
    <row r="133" spans="1:40" ht="30">
      <c r="A133" t="str">
        <f>CHOOSE(1+LOG(1+2*(ORÇAMENTO.Nivel="Meta")+4*(ORÇAMENTO.Nivel="Nível 2")+8*(ORÇAMENTO.Nivel="Nível 3")+16*(ORÇAMENTO.Nivel="Nível 4")+32*(ORÇAMENTO.Nivel="Serviço"),2),0,1,2,3,4,"S")</f>
        <v>S</v>
      </c>
      <c r="B133">
        <f ca="1">IF(OR(C133="s",C133=0),OFFSET(B133,-1,0),C133)</f>
        <v>2</v>
      </c>
      <c r="C133" t="str">
        <f ca="1">IF(OFFSET(C133,-1,0)="L",1,IF(OFFSET(C133,-1,0)=1,2,IF(OR(A133="s",A133=0),"S",IF(AND(OFFSET(C133,-1,0)=2,A133=4),3,IF(AND(OR(OFFSET(C133,-1,0)="s",OFFSET(C133,-1,0)=0),A133&lt;&gt;"s",A133&gt;OFFSET(B133,-1,0)),OFFSET(B133,-1,0),A133)))))</f>
        <v>S</v>
      </c>
      <c r="D133">
        <f>IF(OR(C133="S",C133=0),0,IF(ISERROR(K133),J133,SMALL(J133:K133,1)))</f>
        <v>0</v>
      </c>
      <c r="E133" t="e">
        <f ca="1">IF($C133=1,OFFSET(E133,-1,0)+MAX(1,COUNTIF('[1]QCI'!$A$13:$A$24,OFFSET('[1]ORÇAMENTO'!E131,-1,0))),OFFSET(E133,-1,0))</f>
        <v>#VALUE!</v>
      </c>
      <c r="F133">
        <f ca="1">IF($C133=1,0,IF($C133=2,OFFSET(F133,-1,0)+1,OFFSET(F133,-1,0)))</f>
        <v>2</v>
      </c>
      <c r="G133">
        <f ca="1">IF(AND($C133&lt;=2,$C133&lt;&gt;0),0,IF($C133=3,OFFSET(G133,-1,0)+1,OFFSET(G133,-1,0)))</f>
        <v>0</v>
      </c>
      <c r="H133">
        <f ca="1">IF(AND($C133&lt;=3,$C133&lt;&gt;0),0,IF($C133=4,OFFSET(H133,-1,0)+1,OFFSET(H133,-1,0)))</f>
        <v>0</v>
      </c>
      <c r="I133">
        <f ca="1">IF(AND($C133&lt;=4,$C133&lt;&gt;0),0,IF(AND($C133="S",$X133&gt;0),OFFSET(I133,-1,0)+1,OFFSET(I133,-1,0)))</f>
        <v>0</v>
      </c>
      <c r="J133">
        <f ca="1" t="shared" si="42"/>
        <v>0</v>
      </c>
      <c r="K133">
        <f ca="1">IF(OR($C133="S",$C133=0),0,MATCH(OFFSET($D133,0,$C133)+IF($C133&lt;&gt;1,1,COUNTIF('[1]QCI'!$A$13:$A$24,'[1]ORÇAMENTO'!E131)),OFFSET($D133,1,$C133,ROW($C$223)-ROW($C133)),0))</f>
        <v>0</v>
      </c>
      <c r="L133" s="53">
        <f>IF(OR($X133&gt;0,$C133=1,$C133=2,$C133=3,$C133=4),"F","")</f>
      </c>
      <c r="M133" s="54" t="s">
        <v>7</v>
      </c>
      <c r="N133" s="55" t="str">
        <f>CHOOSE(1+LOG(1+2*(C133=1)+4*(C133=2)+8*(C133=3)+16*(C133=4)+32*(C133="S"),2),"","Meta","Nível 2","Nível 3","Nível 4","Serviço")</f>
        <v>Serviço</v>
      </c>
      <c r="O133" s="56" t="s">
        <v>357</v>
      </c>
      <c r="P133" s="57" t="s">
        <v>62</v>
      </c>
      <c r="Q133" s="58" t="s">
        <v>164</v>
      </c>
      <c r="R133" s="59" t="s">
        <v>170</v>
      </c>
      <c r="S133" s="60" t="s">
        <v>142</v>
      </c>
      <c r="T133" s="61">
        <f t="shared" si="46"/>
        <v>2</v>
      </c>
      <c r="U133" s="62"/>
      <c r="V133" s="63" t="s">
        <v>10</v>
      </c>
      <c r="W133" s="61">
        <f>IF($C133="S",ROUND(IF(TIPOORCAMENTO="Proposto",ORÇAMENTO.CustoUnitario*(1+$AH133),ORÇAMENTO.PrecoUnitarioLicitado),15-13*$AF$10),0)</f>
        <v>0</v>
      </c>
      <c r="X133" s="64">
        <f>IF($C133="S",VTOTAL1,IF($C133=0,0,ROUND(SomaAgrup,15-13*$AF$11)))</f>
        <v>0</v>
      </c>
      <c r="Y133" s="65" t="s">
        <v>63</v>
      </c>
      <c r="Z133">
        <f>IF(AND($C133="S",$X133&gt;0),IF(ISBLANK($Y133),"RA",LEFT($Y133,2)),"")</f>
      </c>
      <c r="AA133" s="66">
        <f>IF($C133="S",IF($Z133="CP",$X133,IF($Z133="RA",(($X133)*'[1]QCI'!$AA$3),0)),SomaAgrup)</f>
        <v>0</v>
      </c>
      <c r="AB133" s="67">
        <f>IF($C133="S",IF($Z133="OU",ROUND($X133,2),0),SomaAgrup)</f>
        <v>0</v>
      </c>
      <c r="AC133" s="68">
        <f>IF($N133="","",IF(ORÇAMENTO.Descricao="","DESCRIÇÃO",IF(AND($C133="S",ORÇAMENTO.Unidade=""),"UNIDADE",IF($X133&lt;0,"VALOR NEGATIVO",IF(OR(AND(TIPOORCAMENTO="Proposto",$AG133&lt;&gt;"",$AG133&gt;0,ORÇAMENTO.CustoUnitario&gt;$AG133),AND(TIPOORCAMENTO="LICITADO",ORÇAMENTO.PrecoUnitarioLicitado&gt;$AN133)),"ACIMA REF.","")))))</f>
      </c>
      <c r="AD133" s="8">
        <f ca="1">IF(C133&lt;=CRONO.NivelExibicao,MAX($AD$15:OFFSET(AD133,-1,0))+IF($C133&lt;&gt;1,1,MAX(1,COUNTIF('[1]QCI'!$A$13:$A$24,OFFSET($E133,-1,0)))),"")</f>
      </c>
      <c r="AE133" s="18" t="str">
        <f>IF(AND($C133="S",ORÇAMENTO.CodBarra&lt;&gt;""),IF(ORÇAMENTO.Fonte="",ORÇAMENTO.CodBarra,CONCATENATE(ORÇAMENTO.Fonte," ",ORÇAMENTO.CodBarra)))</f>
        <v>SINAPI  93655 </v>
      </c>
      <c r="AF133" s="69" t="e">
        <f ca="1">IF(ISERROR(INDIRECT(ORÇAMENTO.BancoRef)),"(abra o arquivo 'Referência "&amp;Excel_BuiltIn_Database&amp;".xls)",IF(OR($C133&lt;&gt;"S",ORÇAMENTO.CodBarra=""),"(Sem Código)",IF(ISERROR(MATCH($AE133,INDIRECT(ORÇAMENTO.BancoRef),0)),"(Código não identificado nas referências)",MATCH($AE133,INDIRECT(ORÇAMENTO.BancoRef),0))))</f>
        <v>#VALUE!</v>
      </c>
      <c r="AG133" s="70">
        <v>14.19</v>
      </c>
      <c r="AH133" s="71">
        <f>ROUND(IF(ISNUMBER(ORÇAMENTO.OpcaoBDI),ORÇAMENTO.OpcaoBDI,IF(LEFT(ORÇAMENTO.OpcaoBDI,3)="BDI",HLOOKUP(ORÇAMENTO.OpcaoBDI,$F$4:$H$5,2,FALSE),0)),15-11*$AF$9)</f>
        <v>0.2282</v>
      </c>
      <c r="AJ133" s="72">
        <v>2</v>
      </c>
      <c r="AL133" s="73"/>
      <c r="AM133" s="74">
        <f t="shared" si="0"/>
        <v>0</v>
      </c>
      <c r="AN133" s="75">
        <f>ROUND(ORÇAMENTO.CustoUnitario*(1+$AH133),2)</f>
        <v>0</v>
      </c>
    </row>
    <row r="134" spans="1:40" ht="30">
      <c r="A134" t="str">
        <f>CHOOSE(1+LOG(1+2*(ORÇAMENTO.Nivel="Meta")+4*(ORÇAMENTO.Nivel="Nível 2")+8*(ORÇAMENTO.Nivel="Nível 3")+16*(ORÇAMENTO.Nivel="Nível 4")+32*(ORÇAMENTO.Nivel="Serviço"),2),0,1,2,3,4,"S")</f>
        <v>S</v>
      </c>
      <c r="B134">
        <f ca="1">IF(OR(C134="s",C134=0),OFFSET(B134,-1,0),C134)</f>
        <v>2</v>
      </c>
      <c r="C134" t="str">
        <f ca="1">IF(OFFSET(C134,-1,0)="L",1,IF(OFFSET(C134,-1,0)=1,2,IF(OR(A134="s",A134=0),"S",IF(AND(OFFSET(C134,-1,0)=2,A134=4),3,IF(AND(OR(OFFSET(C134,-1,0)="s",OFFSET(C134,-1,0)=0),A134&lt;&gt;"s",A134&gt;OFFSET(B134,-1,0)),OFFSET(B134,-1,0),A134)))))</f>
        <v>S</v>
      </c>
      <c r="D134">
        <f>IF(OR(C134="S",C134=0),0,IF(ISERROR(K134),J134,SMALL(J134:K134,1)))</f>
        <v>0</v>
      </c>
      <c r="E134" t="e">
        <f ca="1">IF($C134=1,OFFSET(E134,-1,0)+MAX(1,COUNTIF('[1]QCI'!$A$13:$A$24,OFFSET('[1]ORÇAMENTO'!E132,-1,0))),OFFSET(E134,-1,0))</f>
        <v>#VALUE!</v>
      </c>
      <c r="F134">
        <f ca="1">IF($C134=1,0,IF($C134=2,OFFSET(F134,-1,0)+1,OFFSET(F134,-1,0)))</f>
        <v>2</v>
      </c>
      <c r="G134">
        <f ca="1">IF(AND($C134&lt;=2,$C134&lt;&gt;0),0,IF($C134=3,OFFSET(G134,-1,0)+1,OFFSET(G134,-1,0)))</f>
        <v>0</v>
      </c>
      <c r="H134">
        <f ca="1">IF(AND($C134&lt;=3,$C134&lt;&gt;0),0,IF($C134=4,OFFSET(H134,-1,0)+1,OFFSET(H134,-1,0)))</f>
        <v>0</v>
      </c>
      <c r="I134">
        <f ca="1">IF(AND($C134&lt;=4,$C134&lt;&gt;0),0,IF(AND($C134="S",$X134&gt;0),OFFSET(I134,-1,0)+1,OFFSET(I134,-1,0)))</f>
        <v>0</v>
      </c>
      <c r="J134">
        <f ca="1" t="shared" si="42"/>
        <v>0</v>
      </c>
      <c r="K134">
        <f ca="1">IF(OR($C134="S",$C134=0),0,MATCH(OFFSET($D134,0,$C134)+IF($C134&lt;&gt;1,1,COUNTIF('[1]QCI'!$A$13:$A$24,'[1]ORÇAMENTO'!E132)),OFFSET($D134,1,$C134,ROW($C$223)-ROW($C134)),0))</f>
        <v>0</v>
      </c>
      <c r="L134" s="53">
        <f>IF(OR($X134&gt;0,$C134=1,$C134=2,$C134=3,$C134=4),"F","")</f>
      </c>
      <c r="M134" s="54" t="s">
        <v>7</v>
      </c>
      <c r="N134" s="55" t="str">
        <f>CHOOSE(1+LOG(1+2*(C134=1)+4*(C134=2)+8*(C134=3)+16*(C134=4)+32*(C134="S"),2),"","Meta","Nível 2","Nível 3","Nível 4","Serviço")</f>
        <v>Serviço</v>
      </c>
      <c r="O134" s="56" t="s">
        <v>358</v>
      </c>
      <c r="P134" s="57" t="s">
        <v>62</v>
      </c>
      <c r="Q134" s="58" t="s">
        <v>163</v>
      </c>
      <c r="R134" s="59" t="s">
        <v>169</v>
      </c>
      <c r="S134" s="60" t="s">
        <v>142</v>
      </c>
      <c r="T134" s="61">
        <f t="shared" si="46"/>
        <v>1</v>
      </c>
      <c r="U134" s="62"/>
      <c r="V134" s="63" t="s">
        <v>10</v>
      </c>
      <c r="W134" s="61">
        <f>IF($C134="S",ROUND(IF(TIPOORCAMENTO="Proposto",ORÇAMENTO.CustoUnitario*(1+$AH134),ORÇAMENTO.PrecoUnitarioLicitado),15-13*$AF$10),0)</f>
        <v>0</v>
      </c>
      <c r="X134" s="64">
        <f>IF($C134="S",VTOTAL1,IF($C134=0,0,ROUND(SomaAgrup,15-13*$AF$11)))</f>
        <v>0</v>
      </c>
      <c r="Y134" s="65" t="s">
        <v>63</v>
      </c>
      <c r="Z134">
        <f>IF(AND($C134="S",$X134&gt;0),IF(ISBLANK($Y134),"RA",LEFT($Y134,2)),"")</f>
      </c>
      <c r="AA134" s="66">
        <f>IF($C134="S",IF($Z134="CP",$X134,IF($Z134="RA",(($X134)*'[1]QCI'!$AA$3),0)),SomaAgrup)</f>
        <v>0</v>
      </c>
      <c r="AB134" s="67">
        <f>IF($C134="S",IF($Z134="OU",ROUND($X134,2),0),SomaAgrup)</f>
        <v>0</v>
      </c>
      <c r="AC134" s="68">
        <f>IF($N134="","",IF(ORÇAMENTO.Descricao="","DESCRIÇÃO",IF(AND($C134="S",ORÇAMENTO.Unidade=""),"UNIDADE",IF($X134&lt;0,"VALOR NEGATIVO",IF(OR(AND(TIPOORCAMENTO="Proposto",$AG134&lt;&gt;"",$AG134&gt;0,ORÇAMENTO.CustoUnitario&gt;$AG134),AND(TIPOORCAMENTO="LICITADO",ORÇAMENTO.PrecoUnitarioLicitado&gt;$AN134)),"ACIMA REF.","")))))</f>
      </c>
      <c r="AD134" s="8">
        <f ca="1">IF(C134&lt;=CRONO.NivelExibicao,MAX($AD$15:OFFSET(AD134,-1,0))+IF($C134&lt;&gt;1,1,MAX(1,COUNTIF('[1]QCI'!$A$13:$A$24,OFFSET($E134,-1,0)))),"")</f>
      </c>
      <c r="AE134" s="18" t="str">
        <f>IF(AND($C134="S",ORÇAMENTO.CodBarra&lt;&gt;""),IF(ORÇAMENTO.Fonte="",ORÇAMENTO.CodBarra,CONCATENATE(ORÇAMENTO.Fonte," ",ORÇAMENTO.CodBarra)))</f>
        <v>SINAPI  93665 </v>
      </c>
      <c r="AF134" s="69" t="e">
        <f ca="1">IF(ISERROR(INDIRECT(ORÇAMENTO.BancoRef)),"(abra o arquivo 'Referência "&amp;Excel_BuiltIn_Database&amp;".xls)",IF(OR($C134&lt;&gt;"S",ORÇAMENTO.CodBarra=""),"(Sem Código)",IF(ISERROR(MATCH($AE134,INDIRECT(ORÇAMENTO.BancoRef),0)),"(Código não identificado nas referências)",MATCH($AE134,INDIRECT(ORÇAMENTO.BancoRef),0))))</f>
        <v>#VALUE!</v>
      </c>
      <c r="AG134" s="70">
        <v>71.01</v>
      </c>
      <c r="AH134" s="71">
        <f>ROUND(IF(ISNUMBER(ORÇAMENTO.OpcaoBDI),ORÇAMENTO.OpcaoBDI,IF(LEFT(ORÇAMENTO.OpcaoBDI,3)="BDI",HLOOKUP(ORÇAMENTO.OpcaoBDI,$F$4:$H$5,2,FALSE),0)),15-11*$AF$9)</f>
        <v>0.2282</v>
      </c>
      <c r="AJ134" s="72">
        <v>1</v>
      </c>
      <c r="AL134" s="73"/>
      <c r="AM134" s="74">
        <f t="shared" si="0"/>
        <v>0</v>
      </c>
      <c r="AN134" s="75">
        <f>ROUND(ORÇAMENTO.CustoUnitario*(1+$AH134),2)</f>
        <v>0</v>
      </c>
    </row>
    <row r="135" spans="1:40" ht="15">
      <c r="A135">
        <f t="shared" si="34"/>
        <v>1</v>
      </c>
      <c r="B135">
        <f ca="1" t="shared" si="2"/>
        <v>1</v>
      </c>
      <c r="C135">
        <f ca="1" t="shared" si="3"/>
        <v>1</v>
      </c>
      <c r="D135">
        <f t="shared" si="4"/>
        <v>88</v>
      </c>
      <c r="E135" t="e">
        <f ca="1">IF($C135=1,OFFSET(E135,-1,0)+MAX(1,COUNTIF('[1]QCI'!$A$13:$A$24,OFFSET('[1]ORÇAMENTO'!E133,-1,0))),OFFSET(E135,-1,0))</f>
        <v>#VALUE!</v>
      </c>
      <c r="F135">
        <f ca="1" t="shared" si="5"/>
        <v>0</v>
      </c>
      <c r="G135">
        <f ca="1" t="shared" si="6"/>
        <v>0</v>
      </c>
      <c r="H135">
        <f ca="1" t="shared" si="7"/>
        <v>0</v>
      </c>
      <c r="I135">
        <f ca="1" t="shared" si="8"/>
        <v>0</v>
      </c>
      <c r="J135">
        <f ca="1" t="shared" si="42"/>
        <v>88</v>
      </c>
      <c r="K135" t="e">
        <f ca="1">IF(OR($C135="S",$C135=0),0,MATCH(OFFSET($D135,0,$C135)+IF($C135&lt;&gt;1,1,COUNTIF('[1]QCI'!$A$13:$A$24,'[1]ORÇAMENTO'!E133)),OFFSET($D135,1,$C135,ROW($C$223)-ROW($C135)),0))</f>
        <v>#VALUE!</v>
      </c>
      <c r="L135" s="53" t="str">
        <f t="shared" si="10"/>
        <v>F</v>
      </c>
      <c r="M135" s="54" t="s">
        <v>3</v>
      </c>
      <c r="N135" s="55" t="str">
        <f t="shared" si="11"/>
        <v>Meta</v>
      </c>
      <c r="O135" s="56" t="s">
        <v>359</v>
      </c>
      <c r="P135" s="57" t="s">
        <v>62</v>
      </c>
      <c r="Q135" s="58"/>
      <c r="R135" s="59" t="s">
        <v>97</v>
      </c>
      <c r="S135" s="60" t="str">
        <f>REFERENCIA.Unidade</f>
        <v>-</v>
      </c>
      <c r="T135" s="61" t="e">
        <f ca="1">OFFSET('[1]CÁLCULO'!H$15,ROW($T135)-ROW(T$15),0)</f>
        <v>#VALUE!</v>
      </c>
      <c r="U135" s="62"/>
      <c r="V135" s="63" t="s">
        <v>10</v>
      </c>
      <c r="W135" s="61">
        <f t="shared" si="35"/>
        <v>0</v>
      </c>
      <c r="X135" s="64">
        <f>ROUND(SUM(X136,X142,X147),2)</f>
        <v>0</v>
      </c>
      <c r="Y135" s="65" t="s">
        <v>63</v>
      </c>
      <c r="Z135">
        <f t="shared" si="13"/>
      </c>
      <c r="AA135" s="66">
        <f>IF($C135="S",IF($Z135="CP",$X135,IF($Z135="RA",(($X135)*'[1]QCI'!$AA$3),0)),SomaAgrup)</f>
        <v>0</v>
      </c>
      <c r="AB135" s="67">
        <f t="shared" si="36"/>
        <v>0</v>
      </c>
      <c r="AC135" s="68" t="e">
        <f t="shared" si="37"/>
        <v>#VALUE!</v>
      </c>
      <c r="AD135" s="8" t="e">
        <f ca="1">IF(C135&lt;=CRONO.NivelExibicao,MAX($AD$15:OFFSET(AD135,-1,0))+IF($C135&lt;&gt;1,1,MAX(1,COUNTIF('[1]QCI'!$A$13:$A$24,OFFSET($E135,-1,0)))),"")</f>
        <v>#VALUE!</v>
      </c>
      <c r="AE135" s="18" t="b">
        <f t="shared" si="38"/>
        <v>0</v>
      </c>
      <c r="AF135" s="69" t="e">
        <f ca="1" t="shared" si="39"/>
        <v>#VALUE!</v>
      </c>
      <c r="AG135" s="70" t="e">
        <f>ROUND(IF(DESONERACAO="sim",REFERENCIA.Desonerado,REFERENCIA.NaoDesonerado),2)</f>
        <v>#VALUE!</v>
      </c>
      <c r="AH135" s="71">
        <f t="shared" si="40"/>
        <v>0.2282</v>
      </c>
      <c r="AJ135" s="72"/>
      <c r="AL135" s="73"/>
      <c r="AM135" s="74">
        <f t="shared" si="0"/>
        <v>0</v>
      </c>
      <c r="AN135" s="75">
        <f t="shared" si="41"/>
        <v>0</v>
      </c>
    </row>
    <row r="136" spans="1:40" ht="15">
      <c r="A136" t="str">
        <f t="shared" si="34"/>
        <v>S</v>
      </c>
      <c r="B136">
        <f ca="1" t="shared" si="2"/>
        <v>2</v>
      </c>
      <c r="C136">
        <f ca="1" t="shared" si="3"/>
        <v>2</v>
      </c>
      <c r="D136">
        <f t="shared" si="4"/>
        <v>6</v>
      </c>
      <c r="E136" t="e">
        <f ca="1">IF($C136=1,OFFSET(E136,-1,0)+MAX(1,COUNTIF('[1]QCI'!$A$13:$A$24,OFFSET('[1]ORÇAMENTO'!E134,-1,0))),OFFSET(E136,-1,0))</f>
        <v>#VALUE!</v>
      </c>
      <c r="F136">
        <f ca="1" t="shared" si="5"/>
        <v>1</v>
      </c>
      <c r="G136">
        <f ca="1" t="shared" si="6"/>
        <v>0</v>
      </c>
      <c r="H136">
        <f ca="1" t="shared" si="7"/>
        <v>0</v>
      </c>
      <c r="I136">
        <f ca="1" t="shared" si="8"/>
        <v>0</v>
      </c>
      <c r="J136">
        <f ca="1" t="shared" si="42"/>
        <v>13</v>
      </c>
      <c r="K136">
        <f ca="1">IF(OR($C136="S",$C136=0),0,MATCH(OFFSET($D136,0,$C136)+IF($C136&lt;&gt;1,1,COUNTIF('[1]QCI'!$A$13:$A$24,'[1]ORÇAMENTO'!E134)),OFFSET($D136,1,$C136,ROW($C$223)-ROW($C136)),0))</f>
        <v>6</v>
      </c>
      <c r="L136" s="53" t="str">
        <f t="shared" si="10"/>
        <v>F</v>
      </c>
      <c r="M136" s="54" t="s">
        <v>7</v>
      </c>
      <c r="N136" s="55" t="str">
        <f t="shared" si="11"/>
        <v>Nível 2</v>
      </c>
      <c r="O136" s="56" t="s">
        <v>360</v>
      </c>
      <c r="P136" s="57" t="s">
        <v>62</v>
      </c>
      <c r="Q136" s="58"/>
      <c r="R136" s="59" t="s">
        <v>67</v>
      </c>
      <c r="S136" s="60" t="str">
        <f>REFERENCIA.Unidade</f>
        <v>-</v>
      </c>
      <c r="T136" s="61" t="e">
        <f ca="1">OFFSET('[1]CÁLCULO'!H$15,ROW($T136)-ROW(T$15),0)</f>
        <v>#VALUE!</v>
      </c>
      <c r="U136" s="62"/>
      <c r="V136" s="63" t="s">
        <v>10</v>
      </c>
      <c r="W136" s="61">
        <f t="shared" si="35"/>
        <v>0</v>
      </c>
      <c r="X136" s="64">
        <f>ROUND(SUM(X137),2)</f>
        <v>0</v>
      </c>
      <c r="Y136" s="65" t="s">
        <v>63</v>
      </c>
      <c r="Z136">
        <f t="shared" si="13"/>
      </c>
      <c r="AA136" s="66">
        <f>IF($C136="S",IF($Z136="CP",$X136,IF($Z136="RA",(($X136)*'[1]QCI'!$AA$3),0)),SomaAgrup)</f>
        <v>0</v>
      </c>
      <c r="AB136" s="67">
        <f t="shared" si="36"/>
        <v>0</v>
      </c>
      <c r="AC136" s="68" t="e">
        <f t="shared" si="37"/>
        <v>#VALUE!</v>
      </c>
      <c r="AD136" s="8" t="e">
        <f ca="1">IF(C136&lt;=CRONO.NivelExibicao,MAX($AD$15:OFFSET(AD136,-1,0))+IF($C136&lt;&gt;1,1,MAX(1,COUNTIF('[1]QCI'!$A$13:$A$24,OFFSET($E136,-1,0)))),"")</f>
        <v>#VALUE!</v>
      </c>
      <c r="AE136" s="18" t="b">
        <f t="shared" si="38"/>
        <v>0</v>
      </c>
      <c r="AF136" s="69" t="e">
        <f ca="1" t="shared" si="39"/>
        <v>#VALUE!</v>
      </c>
      <c r="AG136" s="70" t="e">
        <f>ROUND(IF(DESONERACAO="sim",REFERENCIA.Desonerado,REFERENCIA.NaoDesonerado),2)</f>
        <v>#VALUE!</v>
      </c>
      <c r="AH136" s="71">
        <f t="shared" si="40"/>
        <v>0.2282</v>
      </c>
      <c r="AJ136" s="72"/>
      <c r="AL136" s="73"/>
      <c r="AM136" s="74">
        <f t="shared" si="0"/>
        <v>0</v>
      </c>
      <c r="AN136" s="75">
        <f t="shared" si="41"/>
        <v>0</v>
      </c>
    </row>
    <row r="137" spans="1:40" ht="15">
      <c r="A137">
        <f t="shared" si="34"/>
        <v>3</v>
      </c>
      <c r="B137">
        <f ca="1" t="shared" si="2"/>
        <v>3</v>
      </c>
      <c r="C137">
        <f ca="1" t="shared" si="3"/>
        <v>3</v>
      </c>
      <c r="D137">
        <f t="shared" si="4"/>
        <v>5</v>
      </c>
      <c r="E137" t="e">
        <f ca="1">IF($C137=1,OFFSET(E137,-1,0)+MAX(1,COUNTIF('[1]QCI'!$A$13:$A$24,OFFSET('[1]ORÇAMENTO'!E135,-1,0))),OFFSET(E137,-1,0))</f>
        <v>#VALUE!</v>
      </c>
      <c r="F137">
        <f ca="1" t="shared" si="5"/>
        <v>1</v>
      </c>
      <c r="G137">
        <f ca="1" t="shared" si="6"/>
        <v>1</v>
      </c>
      <c r="H137">
        <f ca="1" t="shared" si="7"/>
        <v>0</v>
      </c>
      <c r="I137">
        <f ca="1" t="shared" si="8"/>
        <v>0</v>
      </c>
      <c r="J137">
        <f ca="1" t="shared" si="42"/>
        <v>5</v>
      </c>
      <c r="K137">
        <f ca="1">IF(OR($C137="S",$C137=0),0,MATCH(OFFSET($D137,0,$C137)+IF($C137&lt;&gt;1,1,COUNTIF('[1]QCI'!$A$13:$A$24,'[1]ORÇAMENTO'!E135)),OFFSET($D137,1,$C137,ROW($C$223)-ROW($C137)),0))</f>
        <v>32</v>
      </c>
      <c r="L137" s="53" t="str">
        <f t="shared" si="10"/>
        <v>F</v>
      </c>
      <c r="M137" s="54" t="s">
        <v>5</v>
      </c>
      <c r="N137" s="55" t="str">
        <f t="shared" si="11"/>
        <v>Nível 3</v>
      </c>
      <c r="O137" s="56" t="s">
        <v>361</v>
      </c>
      <c r="P137" s="57" t="s">
        <v>62</v>
      </c>
      <c r="Q137" s="58"/>
      <c r="R137" s="59" t="s">
        <v>98</v>
      </c>
      <c r="S137" s="60" t="str">
        <f>REFERENCIA.Unidade</f>
        <v>-</v>
      </c>
      <c r="T137" s="61" t="e">
        <f ca="1">OFFSET('[1]CÁLCULO'!H$15,ROW($T137)-ROW(T$15),0)</f>
        <v>#VALUE!</v>
      </c>
      <c r="U137" s="62"/>
      <c r="V137" s="63" t="s">
        <v>10</v>
      </c>
      <c r="W137" s="61">
        <f t="shared" si="35"/>
        <v>0</v>
      </c>
      <c r="X137" s="64">
        <f>ROUND(SUM(X138:X141),2)</f>
        <v>0</v>
      </c>
      <c r="Y137" s="65" t="s">
        <v>63</v>
      </c>
      <c r="Z137">
        <f t="shared" si="13"/>
      </c>
      <c r="AA137" s="66">
        <f>IF($C137="S",IF($Z137="CP",$X137,IF($Z137="RA",(($X137)*'[1]QCI'!$AA$3),0)),SomaAgrup)</f>
        <v>0</v>
      </c>
      <c r="AB137" s="67">
        <f t="shared" si="36"/>
        <v>0</v>
      </c>
      <c r="AC137" s="68" t="e">
        <f t="shared" si="37"/>
        <v>#VALUE!</v>
      </c>
      <c r="AD137" s="8" t="e">
        <f ca="1">IF(C137&lt;=CRONO.NivelExibicao,MAX($AD$15:OFFSET(AD137,-1,0))+IF($C137&lt;&gt;1,1,MAX(1,COUNTIF('[1]QCI'!$A$13:$A$24,OFFSET($E137,-1,0)))),"")</f>
        <v>#VALUE!</v>
      </c>
      <c r="AE137" s="18" t="b">
        <f t="shared" si="38"/>
        <v>0</v>
      </c>
      <c r="AF137" s="69" t="e">
        <f ca="1" t="shared" si="39"/>
        <v>#VALUE!</v>
      </c>
      <c r="AG137" s="70" t="e">
        <f>ROUND(IF(DESONERACAO="sim",REFERENCIA.Desonerado,REFERENCIA.NaoDesonerado),2)</f>
        <v>#VALUE!</v>
      </c>
      <c r="AH137" s="71">
        <f t="shared" si="40"/>
        <v>0.2282</v>
      </c>
      <c r="AJ137" s="72"/>
      <c r="AL137" s="73"/>
      <c r="AM137" s="74">
        <f t="shared" si="0"/>
        <v>0</v>
      </c>
      <c r="AN137" s="75">
        <f t="shared" si="41"/>
        <v>0</v>
      </c>
    </row>
    <row r="138" spans="1:40" ht="15">
      <c r="A138" t="str">
        <f t="shared" si="34"/>
        <v>S</v>
      </c>
      <c r="B138">
        <f ca="1" t="shared" si="2"/>
        <v>3</v>
      </c>
      <c r="C138" t="str">
        <f ca="1" t="shared" si="3"/>
        <v>S</v>
      </c>
      <c r="D138">
        <f t="shared" si="4"/>
        <v>0</v>
      </c>
      <c r="E138" t="e">
        <f ca="1">IF($C138=1,OFFSET(E138,-1,0)+MAX(1,COUNTIF('[1]QCI'!$A$13:$A$24,OFFSET('[1]ORÇAMENTO'!E136,-1,0))),OFFSET(E138,-1,0))</f>
        <v>#VALUE!</v>
      </c>
      <c r="F138">
        <f ca="1" t="shared" si="5"/>
        <v>1</v>
      </c>
      <c r="G138">
        <f ca="1" t="shared" si="6"/>
        <v>1</v>
      </c>
      <c r="H138">
        <f ca="1" t="shared" si="7"/>
        <v>0</v>
      </c>
      <c r="I138">
        <f ca="1" t="shared" si="8"/>
        <v>0</v>
      </c>
      <c r="J138">
        <f ca="1" t="shared" si="42"/>
        <v>0</v>
      </c>
      <c r="K138">
        <f ca="1">IF(OR($C138="S",$C138=0),0,MATCH(OFFSET($D138,0,$C138)+IF($C138&lt;&gt;1,1,COUNTIF('[1]QCI'!$A$13:$A$24,'[1]ORÇAMENTO'!E136)),OFFSET($D138,1,$C138,ROW($C$223)-ROW($C138)),0))</f>
        <v>0</v>
      </c>
      <c r="L138" s="53">
        <f t="shared" si="10"/>
      </c>
      <c r="M138" s="54" t="s">
        <v>7</v>
      </c>
      <c r="N138" s="55" t="str">
        <f t="shared" si="11"/>
        <v>Serviço</v>
      </c>
      <c r="O138" s="56" t="s">
        <v>362</v>
      </c>
      <c r="P138" s="57" t="s">
        <v>68</v>
      </c>
      <c r="Q138" s="58" t="s">
        <v>99</v>
      </c>
      <c r="R138" s="59" t="s">
        <v>199</v>
      </c>
      <c r="S138" s="60" t="str">
        <f>REFERENCIA.Unidade</f>
        <v>-</v>
      </c>
      <c r="T138" s="61">
        <f>AJ138</f>
        <v>12.65</v>
      </c>
      <c r="U138" s="62"/>
      <c r="V138" s="63" t="s">
        <v>10</v>
      </c>
      <c r="W138" s="61">
        <f t="shared" si="35"/>
        <v>0</v>
      </c>
      <c r="X138" s="64">
        <f>IF($C138="S",VTOTAL1,IF($C138=0,0,ROUND(SomaAgrup,15-13*$AF$11)))</f>
        <v>0</v>
      </c>
      <c r="Y138" s="65" t="s">
        <v>63</v>
      </c>
      <c r="Z138">
        <f t="shared" si="13"/>
      </c>
      <c r="AA138" s="66">
        <f>IF($C138="S",IF($Z138="CP",$X138,IF($Z138="RA",(($X138)*'[1]QCI'!$AA$3),0)),SomaAgrup)</f>
        <v>0</v>
      </c>
      <c r="AB138" s="67">
        <f t="shared" si="36"/>
        <v>0</v>
      </c>
      <c r="AC138" s="68">
        <f t="shared" si="37"/>
      </c>
      <c r="AD138" s="8">
        <f ca="1">IF(C138&lt;=CRONO.NivelExibicao,MAX($AD$15:OFFSET(AD138,-1,0))+IF($C138&lt;&gt;1,1,MAX(1,COUNTIF('[1]QCI'!$A$13:$A$24,OFFSET($E138,-1,0)))),"")</f>
      </c>
      <c r="AE138" s="18" t="str">
        <f t="shared" si="38"/>
        <v>Composição 001</v>
      </c>
      <c r="AF138" s="69" t="e">
        <f ca="1" t="shared" si="39"/>
        <v>#VALUE!</v>
      </c>
      <c r="AG138" s="70">
        <v>8.59</v>
      </c>
      <c r="AH138" s="71">
        <f t="shared" si="40"/>
        <v>0.2282</v>
      </c>
      <c r="AJ138" s="72">
        <v>12.65</v>
      </c>
      <c r="AL138" s="73"/>
      <c r="AM138" s="74">
        <f t="shared" si="0"/>
        <v>0</v>
      </c>
      <c r="AN138" s="75">
        <f t="shared" si="41"/>
        <v>0</v>
      </c>
    </row>
    <row r="139" spans="1:40" ht="30">
      <c r="A139" t="str">
        <f t="shared" si="34"/>
        <v>S</v>
      </c>
      <c r="B139">
        <f ca="1" t="shared" si="2"/>
        <v>3</v>
      </c>
      <c r="C139" t="str">
        <f ca="1" t="shared" si="3"/>
        <v>S</v>
      </c>
      <c r="D139">
        <f t="shared" si="4"/>
        <v>0</v>
      </c>
      <c r="E139" t="e">
        <f ca="1">IF($C139=1,OFFSET(E139,-1,0)+MAX(1,COUNTIF('[1]QCI'!$A$13:$A$24,OFFSET('[1]ORÇAMENTO'!E137,-1,0))),OFFSET(E139,-1,0))</f>
        <v>#VALUE!</v>
      </c>
      <c r="F139">
        <f ca="1" t="shared" si="5"/>
        <v>1</v>
      </c>
      <c r="G139">
        <f ca="1" t="shared" si="6"/>
        <v>1</v>
      </c>
      <c r="H139">
        <f ca="1" t="shared" si="7"/>
        <v>0</v>
      </c>
      <c r="I139">
        <f ca="1" t="shared" si="8"/>
        <v>0</v>
      </c>
      <c r="J139">
        <f ca="1" t="shared" si="42"/>
        <v>0</v>
      </c>
      <c r="K139">
        <f ca="1">IF(OR($C139="S",$C139=0),0,MATCH(OFFSET($D139,0,$C139)+IF($C139&lt;&gt;1,1,COUNTIF('[1]QCI'!$A$13:$A$24,'[1]ORÇAMENTO'!E137)),OFFSET($D139,1,$C139,ROW($C$223)-ROW($C139)),0))</f>
        <v>0</v>
      </c>
      <c r="L139" s="53">
        <f t="shared" si="10"/>
      </c>
      <c r="M139" s="54" t="s">
        <v>7</v>
      </c>
      <c r="N139" s="55" t="str">
        <f t="shared" si="11"/>
        <v>Serviço</v>
      </c>
      <c r="O139" s="56" t="s">
        <v>363</v>
      </c>
      <c r="P139" s="57" t="s">
        <v>62</v>
      </c>
      <c r="Q139" s="58" t="s">
        <v>135</v>
      </c>
      <c r="R139" s="59" t="s">
        <v>128</v>
      </c>
      <c r="S139" s="60" t="s">
        <v>141</v>
      </c>
      <c r="T139" s="61">
        <f>AJ139</f>
        <v>32.75</v>
      </c>
      <c r="U139" s="62"/>
      <c r="V139" s="63" t="s">
        <v>10</v>
      </c>
      <c r="W139" s="61">
        <f t="shared" si="35"/>
        <v>0</v>
      </c>
      <c r="X139" s="64">
        <f>IF($C139="S",VTOTAL1,IF($C139=0,0,ROUND(SomaAgrup,15-13*$AF$11)))</f>
        <v>0</v>
      </c>
      <c r="Y139" s="65" t="s">
        <v>63</v>
      </c>
      <c r="Z139">
        <f t="shared" si="13"/>
      </c>
      <c r="AA139" s="66">
        <f>IF($C139="S",IF($Z139="CP",$X139,IF($Z139="RA",(($X139)*'[1]QCI'!$AA$3),0)),SomaAgrup)</f>
        <v>0</v>
      </c>
      <c r="AB139" s="67">
        <f t="shared" si="36"/>
        <v>0</v>
      </c>
      <c r="AC139" s="68">
        <f t="shared" si="37"/>
      </c>
      <c r="AD139" s="8">
        <f ca="1">IF(C139&lt;=CRONO.NivelExibicao,MAX($AD$15:OFFSET(AD139,-1,0))+IF($C139&lt;&gt;1,1,MAX(1,COUNTIF('[1]QCI'!$A$13:$A$24,OFFSET($E139,-1,0)))),"")</f>
      </c>
      <c r="AE139" s="18" t="str">
        <f t="shared" si="38"/>
        <v>SINAPI  97650 </v>
      </c>
      <c r="AF139" s="69" t="e">
        <f ca="1" t="shared" si="39"/>
        <v>#VALUE!</v>
      </c>
      <c r="AG139" s="70">
        <v>6.04</v>
      </c>
      <c r="AH139" s="71">
        <f t="shared" si="40"/>
        <v>0.2282</v>
      </c>
      <c r="AJ139" s="72">
        <v>32.75</v>
      </c>
      <c r="AL139" s="73"/>
      <c r="AM139" s="74">
        <f t="shared" si="0"/>
        <v>0</v>
      </c>
      <c r="AN139" s="75">
        <f t="shared" si="41"/>
        <v>0</v>
      </c>
    </row>
    <row r="140" spans="1:40" ht="30">
      <c r="A140" t="str">
        <f>CHOOSE(1+LOG(1+2*(ORÇAMENTO.Nivel="Meta")+4*(ORÇAMENTO.Nivel="Nível 2")+8*(ORÇAMENTO.Nivel="Nível 3")+16*(ORÇAMENTO.Nivel="Nível 4")+32*(ORÇAMENTO.Nivel="Serviço"),2),0,1,2,3,4,"S")</f>
        <v>S</v>
      </c>
      <c r="B140">
        <f ca="1">IF(OR(C140="s",C140=0),OFFSET(B140,-1,0),C140)</f>
        <v>3</v>
      </c>
      <c r="C140" t="str">
        <f ca="1">IF(OFFSET(C140,-1,0)="L",1,IF(OFFSET(C140,-1,0)=1,2,IF(OR(A140="s",A140=0),"S",IF(AND(OFFSET(C140,-1,0)=2,A140=4),3,IF(AND(OR(OFFSET(C140,-1,0)="s",OFFSET(C140,-1,0)=0),A140&lt;&gt;"s",A140&gt;OFFSET(B140,-1,0)),OFFSET(B140,-1,0),A140)))))</f>
        <v>S</v>
      </c>
      <c r="D140">
        <f>IF(OR(C140="S",C140=0),0,IF(ISERROR(K140),J140,SMALL(J140:K140,1)))</f>
        <v>0</v>
      </c>
      <c r="E140" t="e">
        <f ca="1">IF($C140=1,OFFSET(E140,-1,0)+MAX(1,COUNTIF('[1]QCI'!$A$13:$A$24,OFFSET('[1]ORÇAMENTO'!E138,-1,0))),OFFSET(E140,-1,0))</f>
        <v>#VALUE!</v>
      </c>
      <c r="F140">
        <f ca="1">IF($C140=1,0,IF($C140=2,OFFSET(F140,-1,0)+1,OFFSET(F140,-1,0)))</f>
        <v>1</v>
      </c>
      <c r="G140">
        <f ca="1">IF(AND($C140&lt;=2,$C140&lt;&gt;0),0,IF($C140=3,OFFSET(G140,-1,0)+1,OFFSET(G140,-1,0)))</f>
        <v>1</v>
      </c>
      <c r="H140">
        <f ca="1">IF(AND($C140&lt;=3,$C140&lt;&gt;0),0,IF($C140=4,OFFSET(H140,-1,0)+1,OFFSET(H140,-1,0)))</f>
        <v>0</v>
      </c>
      <c r="I140">
        <f ca="1">IF(AND($C140&lt;=4,$C140&lt;&gt;0),0,IF(AND($C140="S",$X140&gt;0),OFFSET(I140,-1,0)+1,OFFSET(I140,-1,0)))</f>
        <v>0</v>
      </c>
      <c r="J140">
        <f ca="1" t="shared" si="42"/>
        <v>0</v>
      </c>
      <c r="K140">
        <f ca="1">IF(OR($C140="S",$C140=0),0,MATCH(OFFSET($D140,0,$C140)+IF($C140&lt;&gt;1,1,COUNTIF('[1]QCI'!$A$13:$A$24,'[1]ORÇAMENTO'!E138)),OFFSET($D140,1,$C140,ROW($C$223)-ROW($C140)),0))</f>
        <v>0</v>
      </c>
      <c r="L140" s="53">
        <f>IF(OR($X140&gt;0,$C140=1,$C140=2,$C140=3,$C140=4),"F","")</f>
      </c>
      <c r="M140" s="54" t="s">
        <v>7</v>
      </c>
      <c r="N140" s="55" t="str">
        <f>CHOOSE(1+LOG(1+2*(C140=1)+4*(C140=2)+8*(C140=3)+16*(C140=4)+32*(C140="S"),2),"","Meta","Nível 2","Nível 3","Nível 4","Serviço")</f>
        <v>Serviço</v>
      </c>
      <c r="O140" s="56" t="s">
        <v>364</v>
      </c>
      <c r="P140" s="57" t="s">
        <v>62</v>
      </c>
      <c r="Q140" s="58" t="s">
        <v>200</v>
      </c>
      <c r="R140" s="59" t="s">
        <v>201</v>
      </c>
      <c r="S140" s="60" t="s">
        <v>143</v>
      </c>
      <c r="T140" s="61">
        <f>AJ140</f>
        <v>25.3</v>
      </c>
      <c r="U140" s="62"/>
      <c r="V140" s="63" t="s">
        <v>10</v>
      </c>
      <c r="W140" s="61">
        <f>IF($C140="S",ROUND(IF(TIPOORCAMENTO="Proposto",ORÇAMENTO.CustoUnitario*(1+$AH140),ORÇAMENTO.PrecoUnitarioLicitado),15-13*$AF$10),0)</f>
        <v>0</v>
      </c>
      <c r="X140" s="64">
        <f>IF($C140="S",VTOTAL1,IF($C140=0,0,ROUND(SomaAgrup,15-13*$AF$11)))</f>
        <v>0</v>
      </c>
      <c r="Y140" s="65" t="s">
        <v>63</v>
      </c>
      <c r="Z140">
        <f>IF(AND($C140="S",$X140&gt;0),IF(ISBLANK($Y140),"RA",LEFT($Y140,2)),"")</f>
      </c>
      <c r="AA140" s="66">
        <f>IF($C140="S",IF($Z140="CP",$X140,IF($Z140="RA",(($X140)*'[1]QCI'!$AA$3),0)),SomaAgrup)</f>
        <v>0</v>
      </c>
      <c r="AB140" s="67">
        <f>IF($C140="S",IF($Z140="OU",ROUND($X140,2),0),SomaAgrup)</f>
        <v>0</v>
      </c>
      <c r="AC140" s="68">
        <f>IF($N140="","",IF(ORÇAMENTO.Descricao="","DESCRIÇÃO",IF(AND($C140="S",ORÇAMENTO.Unidade=""),"UNIDADE",IF($X140&lt;0,"VALOR NEGATIVO",IF(OR(AND(TIPOORCAMENTO="Proposto",$AG140&lt;&gt;"",$AG140&gt;0,ORÇAMENTO.CustoUnitario&gt;$AG140),AND(TIPOORCAMENTO="LICITADO",ORÇAMENTO.PrecoUnitarioLicitado&gt;$AN140)),"ACIMA REF.","")))))</f>
      </c>
      <c r="AD140" s="8">
        <f ca="1">IF(C140&lt;=CRONO.NivelExibicao,MAX($AD$15:OFFSET(AD140,-1,0))+IF($C140&lt;&gt;1,1,MAX(1,COUNTIF('[1]QCI'!$A$13:$A$24,OFFSET($E140,-1,0)))),"")</f>
      </c>
      <c r="AE140" s="18" t="str">
        <f>IF(AND($C140="S",ORÇAMENTO.CodBarra&lt;&gt;""),IF(ORÇAMENTO.Fonte="",ORÇAMENTO.CodBarra,CONCATENATE(ORÇAMENTO.Fonte," ",ORÇAMENTO.CodBarra)))</f>
        <v>SINAPI  94231 </v>
      </c>
      <c r="AF140" s="69" t="e">
        <f ca="1">IF(ISERROR(INDIRECT(ORÇAMENTO.BancoRef)),"(abra o arquivo 'Referência "&amp;Excel_BuiltIn_Database&amp;".xls)",IF(OR($C140&lt;&gt;"S",ORÇAMENTO.CodBarra=""),"(Sem Código)",IF(ISERROR(MATCH($AE140,INDIRECT(ORÇAMENTO.BancoRef),0)),"(Código não identificado nas referências)",MATCH($AE140,INDIRECT(ORÇAMENTO.BancoRef),0))))</f>
        <v>#VALUE!</v>
      </c>
      <c r="AG140" s="70">
        <v>52.59</v>
      </c>
      <c r="AH140" s="71">
        <f>ROUND(IF(ISNUMBER(ORÇAMENTO.OpcaoBDI),ORÇAMENTO.OpcaoBDI,IF(LEFT(ORÇAMENTO.OpcaoBDI,3)="BDI",HLOOKUP(ORÇAMENTO.OpcaoBDI,$F$4:$H$5,2,FALSE),0)),15-11*$AF$9)</f>
        <v>0.2282</v>
      </c>
      <c r="AJ140" s="72">
        <v>25.3</v>
      </c>
      <c r="AL140" s="73"/>
      <c r="AM140" s="74">
        <f t="shared" si="0"/>
        <v>0</v>
      </c>
      <c r="AN140" s="75">
        <f>ROUND(ORÇAMENTO.CustoUnitario*(1+$AH140),2)</f>
        <v>0</v>
      </c>
    </row>
    <row r="141" spans="1:40" ht="30">
      <c r="A141" t="str">
        <f t="shared" si="34"/>
        <v>S</v>
      </c>
      <c r="B141">
        <f ca="1" t="shared" si="2"/>
        <v>3</v>
      </c>
      <c r="C141" t="str">
        <f ca="1" t="shared" si="3"/>
        <v>S</v>
      </c>
      <c r="D141">
        <f t="shared" si="4"/>
        <v>0</v>
      </c>
      <c r="E141" t="e">
        <f ca="1">IF($C141=1,OFFSET(E141,-1,0)+MAX(1,COUNTIF('[1]QCI'!$A$13:$A$24,OFFSET('[1]ORÇAMENTO'!E140,-1,0))),OFFSET(E141,-1,0))</f>
        <v>#VALUE!</v>
      </c>
      <c r="F141">
        <f ca="1" t="shared" si="5"/>
        <v>1</v>
      </c>
      <c r="G141">
        <f ca="1" t="shared" si="6"/>
        <v>1</v>
      </c>
      <c r="H141">
        <f ca="1" t="shared" si="7"/>
        <v>0</v>
      </c>
      <c r="I141">
        <f ca="1" t="shared" si="8"/>
        <v>0</v>
      </c>
      <c r="J141">
        <f ca="1" t="shared" si="42"/>
        <v>0</v>
      </c>
      <c r="K141">
        <f ca="1">IF(OR($C141="S",$C141=0),0,MATCH(OFFSET($D141,0,$C141)+IF($C141&lt;&gt;1,1,COUNTIF('[1]QCI'!$A$13:$A$24,'[1]ORÇAMENTO'!E140)),OFFSET($D141,1,$C141,ROW($C$223)-ROW($C141)),0))</f>
        <v>0</v>
      </c>
      <c r="L141" s="53">
        <f t="shared" si="10"/>
      </c>
      <c r="M141" s="54" t="s">
        <v>7</v>
      </c>
      <c r="N141" s="55" t="str">
        <f t="shared" si="11"/>
        <v>Serviço</v>
      </c>
      <c r="O141" s="56" t="s">
        <v>365</v>
      </c>
      <c r="P141" s="57" t="s">
        <v>62</v>
      </c>
      <c r="Q141" s="58" t="s">
        <v>139</v>
      </c>
      <c r="R141" s="59" t="s">
        <v>132</v>
      </c>
      <c r="S141" s="60" t="s">
        <v>141</v>
      </c>
      <c r="T141" s="61">
        <f>AJ141</f>
        <v>32.75</v>
      </c>
      <c r="U141" s="62"/>
      <c r="V141" s="63" t="s">
        <v>10</v>
      </c>
      <c r="W141" s="61">
        <f t="shared" si="35"/>
        <v>0</v>
      </c>
      <c r="X141" s="64">
        <f>IF($C141="S",VTOTAL1,IF($C141=0,0,ROUND(SomaAgrup,15-13*$AF$11)))</f>
        <v>0</v>
      </c>
      <c r="Y141" s="65" t="s">
        <v>63</v>
      </c>
      <c r="Z141">
        <f t="shared" si="13"/>
      </c>
      <c r="AA141" s="66">
        <f>IF($C141="S",IF($Z141="CP",$X141,IF($Z141="RA",(($X141)*'[1]QCI'!$AA$3),0)),SomaAgrup)</f>
        <v>0</v>
      </c>
      <c r="AB141" s="67">
        <f t="shared" si="36"/>
        <v>0</v>
      </c>
      <c r="AC141" s="68">
        <f t="shared" si="37"/>
      </c>
      <c r="AD141" s="8">
        <f ca="1">IF(C141&lt;=CRONO.NivelExibicao,MAX($AD$15:OFFSET(AD141,-1,0))+IF($C141&lt;&gt;1,1,MAX(1,COUNTIF('[1]QCI'!$A$13:$A$24,OFFSET($E141,-1,0)))),"")</f>
      </c>
      <c r="AE141" s="18" t="str">
        <f t="shared" si="38"/>
        <v>SINAPI  94195 </v>
      </c>
      <c r="AF141" s="69" t="e">
        <f ca="1" t="shared" si="39"/>
        <v>#VALUE!</v>
      </c>
      <c r="AG141" s="70">
        <v>34.47</v>
      </c>
      <c r="AH141" s="71">
        <f t="shared" si="40"/>
        <v>0.2282</v>
      </c>
      <c r="AJ141" s="72">
        <v>32.75</v>
      </c>
      <c r="AL141" s="73"/>
      <c r="AM141" s="74">
        <f t="shared" si="0"/>
        <v>0</v>
      </c>
      <c r="AN141" s="75">
        <f t="shared" si="41"/>
        <v>0</v>
      </c>
    </row>
    <row r="142" spans="1:40" ht="30">
      <c r="A142">
        <f t="shared" si="34"/>
        <v>2</v>
      </c>
      <c r="B142">
        <f ca="1" t="shared" si="2"/>
        <v>2</v>
      </c>
      <c r="C142">
        <f ca="1" t="shared" si="3"/>
        <v>2</v>
      </c>
      <c r="D142">
        <f t="shared" si="4"/>
        <v>5</v>
      </c>
      <c r="E142" t="e">
        <f ca="1">IF($C142=1,OFFSET(E142,-1,0)+MAX(1,COUNTIF('[1]QCI'!$A$13:$A$24,OFFSET('[1]ORÇAMENTO'!E142,-1,0))),OFFSET(E142,-1,0))</f>
        <v>#VALUE!</v>
      </c>
      <c r="F142">
        <f ca="1" t="shared" si="5"/>
        <v>2</v>
      </c>
      <c r="G142">
        <f ca="1" t="shared" si="6"/>
        <v>0</v>
      </c>
      <c r="H142">
        <f ca="1" t="shared" si="7"/>
        <v>0</v>
      </c>
      <c r="I142">
        <f ca="1" t="shared" si="8"/>
        <v>0</v>
      </c>
      <c r="J142">
        <f ca="1" t="shared" si="42"/>
        <v>7</v>
      </c>
      <c r="K142">
        <f ca="1">IF(OR($C142="S",$C142=0),0,MATCH(OFFSET($D142,0,$C142)+IF($C142&lt;&gt;1,1,COUNTIF('[1]QCI'!$A$13:$A$24,'[1]ORÇAMENTO'!E142)),OFFSET($D142,1,$C142,ROW($C$223)-ROW($C142)),0))</f>
        <v>5</v>
      </c>
      <c r="L142" s="53" t="str">
        <f t="shared" si="10"/>
        <v>F</v>
      </c>
      <c r="M142" s="54" t="s">
        <v>4</v>
      </c>
      <c r="N142" s="55" t="str">
        <f t="shared" si="11"/>
        <v>Nível 2</v>
      </c>
      <c r="O142" s="56" t="s">
        <v>366</v>
      </c>
      <c r="P142" s="57" t="s">
        <v>62</v>
      </c>
      <c r="Q142" s="58"/>
      <c r="R142" s="59" t="s">
        <v>100</v>
      </c>
      <c r="S142" s="60" t="str">
        <f>REFERENCIA.Unidade</f>
        <v>-</v>
      </c>
      <c r="T142" s="61" t="e">
        <f ca="1">OFFSET('[1]CÁLCULO'!H$15,ROW($T142)-ROW(T$15),0)</f>
        <v>#VALUE!</v>
      </c>
      <c r="U142" s="62"/>
      <c r="V142" s="63" t="s">
        <v>10</v>
      </c>
      <c r="W142" s="61">
        <f t="shared" si="35"/>
        <v>0</v>
      </c>
      <c r="X142" s="64">
        <f>ROUND(SUM(X143:X146),2)</f>
        <v>0</v>
      </c>
      <c r="Y142" s="65" t="s">
        <v>63</v>
      </c>
      <c r="Z142">
        <f t="shared" si="13"/>
      </c>
      <c r="AA142" s="66">
        <f>IF($C142="S",IF($Z142="CP",$X142,IF($Z142="RA",(($X142)*'[1]QCI'!$AA$3),0)),SomaAgrup)</f>
        <v>0</v>
      </c>
      <c r="AB142" s="67">
        <f t="shared" si="36"/>
        <v>0</v>
      </c>
      <c r="AC142" s="68">
        <f t="shared" si="37"/>
      </c>
      <c r="AD142" s="8" t="e">
        <f ca="1">IF(C142&lt;=CRONO.NivelExibicao,MAX($AD$15:OFFSET(AD142,-1,0))+IF($C142&lt;&gt;1,1,MAX(1,COUNTIF('[1]QCI'!$A$13:$A$24,OFFSET($E142,-1,0)))),"")</f>
        <v>#VALUE!</v>
      </c>
      <c r="AE142" s="18" t="b">
        <f t="shared" si="38"/>
        <v>0</v>
      </c>
      <c r="AF142" s="69" t="e">
        <f ca="1" t="shared" si="39"/>
        <v>#VALUE!</v>
      </c>
      <c r="AG142" s="70"/>
      <c r="AH142" s="71">
        <f t="shared" si="40"/>
        <v>0.2282</v>
      </c>
      <c r="AJ142" s="72"/>
      <c r="AL142" s="73"/>
      <c r="AM142" s="74">
        <f t="shared" si="0"/>
        <v>0</v>
      </c>
      <c r="AN142" s="75">
        <f t="shared" si="41"/>
        <v>0</v>
      </c>
    </row>
    <row r="143" spans="1:40" ht="30">
      <c r="A143" t="str">
        <f t="shared" si="34"/>
        <v>S</v>
      </c>
      <c r="B143">
        <f ca="1" t="shared" si="2"/>
        <v>2</v>
      </c>
      <c r="C143" t="str">
        <f ca="1" t="shared" si="3"/>
        <v>S</v>
      </c>
      <c r="D143">
        <f t="shared" si="4"/>
        <v>0</v>
      </c>
      <c r="E143" t="e">
        <f ca="1">IF($C143=1,OFFSET(E143,-1,0)+MAX(1,COUNTIF('[1]QCI'!$A$13:$A$24,OFFSET('[1]ORÇAMENTO'!E143,-1,0))),OFFSET(E143,-1,0))</f>
        <v>#VALUE!</v>
      </c>
      <c r="F143">
        <f ca="1" t="shared" si="5"/>
        <v>2</v>
      </c>
      <c r="G143">
        <f ca="1" t="shared" si="6"/>
        <v>0</v>
      </c>
      <c r="H143">
        <f ca="1" t="shared" si="7"/>
        <v>0</v>
      </c>
      <c r="I143">
        <f ca="1" t="shared" si="8"/>
        <v>0</v>
      </c>
      <c r="J143">
        <f ca="1" t="shared" si="42"/>
        <v>0</v>
      </c>
      <c r="K143">
        <f ca="1">IF(OR($C143="S",$C143=0),0,MATCH(OFFSET($D143,0,$C143)+IF($C143&lt;&gt;1,1,COUNTIF('[1]QCI'!$A$13:$A$24,'[1]ORÇAMENTO'!E143)),OFFSET($D143,1,$C143,ROW($C$223)-ROW($C143)),0))</f>
        <v>0</v>
      </c>
      <c r="L143" s="53">
        <f t="shared" si="10"/>
      </c>
      <c r="M143" s="54" t="s">
        <v>7</v>
      </c>
      <c r="N143" s="55" t="str">
        <f t="shared" si="11"/>
        <v>Serviço</v>
      </c>
      <c r="O143" s="56" t="s">
        <v>367</v>
      </c>
      <c r="P143" s="57" t="s">
        <v>62</v>
      </c>
      <c r="Q143" s="58" t="s">
        <v>202</v>
      </c>
      <c r="R143" s="59" t="s">
        <v>206</v>
      </c>
      <c r="S143" s="60" t="s">
        <v>159</v>
      </c>
      <c r="T143" s="61">
        <f>AJ143</f>
        <v>1.6</v>
      </c>
      <c r="U143" s="62"/>
      <c r="V143" s="63" t="s">
        <v>10</v>
      </c>
      <c r="W143" s="61">
        <f t="shared" si="35"/>
        <v>0</v>
      </c>
      <c r="X143" s="64">
        <f>IF($C143="S",VTOTAL1,IF($C143=0,0,ROUND(SomaAgrup,15-13*$AF$11)))</f>
        <v>0</v>
      </c>
      <c r="Y143" s="65" t="s">
        <v>63</v>
      </c>
      <c r="Z143">
        <f t="shared" si="13"/>
      </c>
      <c r="AA143" s="66">
        <f>IF($C143="S",IF($Z143="CP",$X143,IF($Z143="RA",(($X143)*'[1]QCI'!$AA$3),0)),SomaAgrup)</f>
        <v>0</v>
      </c>
      <c r="AB143" s="67">
        <f t="shared" si="36"/>
        <v>0</v>
      </c>
      <c r="AC143" s="68">
        <f t="shared" si="37"/>
      </c>
      <c r="AD143" s="8">
        <f ca="1">IF(C143&lt;=CRONO.NivelExibicao,MAX($AD$15:OFFSET(AD143,-1,0))+IF($C143&lt;&gt;1,1,MAX(1,COUNTIF('[1]QCI'!$A$13:$A$24,OFFSET($E143,-1,0)))),"")</f>
      </c>
      <c r="AE143" s="18" t="str">
        <f t="shared" si="38"/>
        <v>SINAPI  97622 </v>
      </c>
      <c r="AF143" s="69" t="e">
        <f ca="1" t="shared" si="39"/>
        <v>#VALUE!</v>
      </c>
      <c r="AG143" s="70">
        <v>46.73</v>
      </c>
      <c r="AH143" s="71">
        <f t="shared" si="40"/>
        <v>0.2282</v>
      </c>
      <c r="AJ143" s="72">
        <v>1.6</v>
      </c>
      <c r="AL143" s="73"/>
      <c r="AM143" s="74">
        <f t="shared" si="0"/>
        <v>0</v>
      </c>
      <c r="AN143" s="75">
        <f t="shared" si="41"/>
        <v>0</v>
      </c>
    </row>
    <row r="144" spans="1:40" ht="45">
      <c r="A144" t="str">
        <f t="shared" si="34"/>
        <v>S</v>
      </c>
      <c r="B144">
        <f ca="1" t="shared" si="2"/>
        <v>2</v>
      </c>
      <c r="C144" t="str">
        <f ca="1" t="shared" si="3"/>
        <v>S</v>
      </c>
      <c r="D144">
        <f t="shared" si="4"/>
        <v>0</v>
      </c>
      <c r="E144" t="e">
        <f ca="1">IF($C144=1,OFFSET(E144,-1,0)+MAX(1,COUNTIF('[1]QCI'!$A$13:$A$24,OFFSET('[1]ORÇAMENTO'!E144,-1,0))),OFFSET(E144,-1,0))</f>
        <v>#VALUE!</v>
      </c>
      <c r="F144">
        <f ca="1" t="shared" si="5"/>
        <v>2</v>
      </c>
      <c r="G144">
        <f ca="1" t="shared" si="6"/>
        <v>0</v>
      </c>
      <c r="H144">
        <f ca="1" t="shared" si="7"/>
        <v>0</v>
      </c>
      <c r="I144">
        <f ca="1" t="shared" si="8"/>
        <v>0</v>
      </c>
      <c r="J144">
        <f ca="1" t="shared" si="42"/>
        <v>0</v>
      </c>
      <c r="K144">
        <f ca="1">IF(OR($C144="S",$C144=0),0,MATCH(OFFSET($D144,0,$C144)+IF($C144&lt;&gt;1,1,COUNTIF('[1]QCI'!$A$13:$A$24,'[1]ORÇAMENTO'!E144)),OFFSET($D144,1,$C144,ROW($C$223)-ROW($C144)),0))</f>
        <v>0</v>
      </c>
      <c r="L144" s="53">
        <f t="shared" si="10"/>
      </c>
      <c r="M144" s="54" t="s">
        <v>7</v>
      </c>
      <c r="N144" s="55" t="str">
        <f t="shared" si="11"/>
        <v>Serviço</v>
      </c>
      <c r="O144" s="56" t="s">
        <v>368</v>
      </c>
      <c r="P144" s="57" t="s">
        <v>62</v>
      </c>
      <c r="Q144" s="58" t="s">
        <v>203</v>
      </c>
      <c r="R144" s="59" t="s">
        <v>207</v>
      </c>
      <c r="S144" s="60" t="s">
        <v>141</v>
      </c>
      <c r="T144" s="61">
        <f>AJ144</f>
        <v>3.2</v>
      </c>
      <c r="U144" s="62"/>
      <c r="V144" s="63" t="s">
        <v>10</v>
      </c>
      <c r="W144" s="61">
        <f t="shared" si="35"/>
        <v>0</v>
      </c>
      <c r="X144" s="64">
        <f>IF($C144="S",VTOTAL1,IF($C144=0,0,ROUND(SomaAgrup,15-13*$AF$11)))</f>
        <v>0</v>
      </c>
      <c r="Y144" s="65" t="s">
        <v>63</v>
      </c>
      <c r="Z144">
        <f t="shared" si="13"/>
      </c>
      <c r="AA144" s="66">
        <f>IF($C144="S",IF($Z144="CP",$X144,IF($Z144="RA",(($X144)*'[1]QCI'!$AA$3),0)),SomaAgrup)</f>
        <v>0</v>
      </c>
      <c r="AB144" s="67">
        <f t="shared" si="36"/>
        <v>0</v>
      </c>
      <c r="AC144" s="68">
        <f t="shared" si="37"/>
      </c>
      <c r="AD144" s="8">
        <f ca="1">IF(C144&lt;=CRONO.NivelExibicao,MAX($AD$15:OFFSET(AD144,-1,0))+IF($C144&lt;&gt;1,1,MAX(1,COUNTIF('[1]QCI'!$A$13:$A$24,OFFSET($E144,-1,0)))),"")</f>
      </c>
      <c r="AE144" s="18" t="str">
        <f t="shared" si="38"/>
        <v>SINAPI  87794 </v>
      </c>
      <c r="AF144" s="69" t="e">
        <f ca="1" t="shared" si="39"/>
        <v>#VALUE!</v>
      </c>
      <c r="AG144" s="70">
        <v>38.25</v>
      </c>
      <c r="AH144" s="71">
        <f t="shared" si="40"/>
        <v>0.2282</v>
      </c>
      <c r="AJ144" s="72">
        <v>3.2</v>
      </c>
      <c r="AL144" s="73"/>
      <c r="AM144" s="74">
        <f t="shared" si="0"/>
        <v>0</v>
      </c>
      <c r="AN144" s="75">
        <f t="shared" si="41"/>
        <v>0</v>
      </c>
    </row>
    <row r="145" spans="1:40" ht="60">
      <c r="A145" t="str">
        <f t="shared" si="34"/>
        <v>S</v>
      </c>
      <c r="B145">
        <f ca="1" t="shared" si="2"/>
        <v>2</v>
      </c>
      <c r="C145" t="str">
        <f ca="1" t="shared" si="3"/>
        <v>S</v>
      </c>
      <c r="D145">
        <f t="shared" si="4"/>
        <v>0</v>
      </c>
      <c r="E145" t="e">
        <f ca="1">IF($C145=1,OFFSET(E145,-1,0)+MAX(1,COUNTIF('[1]QCI'!$A$13:$A$24,OFFSET('[1]ORÇAMENTO'!E145,-1,0))),OFFSET(E145,-1,0))</f>
        <v>#VALUE!</v>
      </c>
      <c r="F145">
        <f ca="1" t="shared" si="5"/>
        <v>2</v>
      </c>
      <c r="G145">
        <f ca="1" t="shared" si="6"/>
        <v>0</v>
      </c>
      <c r="H145">
        <f ca="1" t="shared" si="7"/>
        <v>0</v>
      </c>
      <c r="I145">
        <f ca="1" t="shared" si="8"/>
        <v>0</v>
      </c>
      <c r="J145">
        <f ca="1" t="shared" si="42"/>
        <v>0</v>
      </c>
      <c r="K145">
        <f ca="1">IF(OR($C145="S",$C145=0),0,MATCH(OFFSET($D145,0,$C145)+IF($C145&lt;&gt;1,1,COUNTIF('[1]QCI'!$A$13:$A$24,'[1]ORÇAMENTO'!E145)),OFFSET($D145,1,$C145,ROW($C$223)-ROW($C145)),0))</f>
        <v>0</v>
      </c>
      <c r="L145" s="53">
        <f t="shared" si="10"/>
      </c>
      <c r="M145" s="54" t="s">
        <v>7</v>
      </c>
      <c r="N145" s="55" t="str">
        <f t="shared" si="11"/>
        <v>Serviço</v>
      </c>
      <c r="O145" s="56" t="s">
        <v>369</v>
      </c>
      <c r="P145" s="57" t="s">
        <v>62</v>
      </c>
      <c r="Q145" s="58" t="s">
        <v>204</v>
      </c>
      <c r="R145" s="59" t="s">
        <v>208</v>
      </c>
      <c r="S145" s="60" t="s">
        <v>141</v>
      </c>
      <c r="T145" s="61">
        <f>AJ145</f>
        <v>3.2</v>
      </c>
      <c r="U145" s="62"/>
      <c r="V145" s="63" t="s">
        <v>10</v>
      </c>
      <c r="W145" s="61">
        <f t="shared" si="35"/>
        <v>0</v>
      </c>
      <c r="X145" s="64">
        <f>IF($C145="S",VTOTAL1,IF($C145=0,0,ROUND(SomaAgrup,15-13*$AF$11)))</f>
        <v>0</v>
      </c>
      <c r="Y145" s="65" t="s">
        <v>63</v>
      </c>
      <c r="Z145">
        <f t="shared" si="13"/>
      </c>
      <c r="AA145" s="66">
        <f>IF($C145="S",IF($Z145="CP",$X145,IF($Z145="RA",(($X145)*'[1]QCI'!$AA$3),0)),SomaAgrup)</f>
        <v>0</v>
      </c>
      <c r="AB145" s="67">
        <f t="shared" si="36"/>
        <v>0</v>
      </c>
      <c r="AC145" s="68">
        <f t="shared" si="37"/>
      </c>
      <c r="AD145" s="8">
        <f ca="1">IF(C145&lt;=CRONO.NivelExibicao,MAX($AD$15:OFFSET(AD145,-1,0))+IF($C145&lt;&gt;1,1,MAX(1,COUNTIF('[1]QCI'!$A$13:$A$24,OFFSET($E145,-1,0)))),"")</f>
      </c>
      <c r="AE145" s="18" t="str">
        <f t="shared" si="38"/>
        <v>SINAPI  87267 </v>
      </c>
      <c r="AF145" s="69" t="e">
        <f ca="1" t="shared" si="39"/>
        <v>#VALUE!</v>
      </c>
      <c r="AG145" s="70">
        <v>64.55</v>
      </c>
      <c r="AH145" s="71">
        <f t="shared" si="40"/>
        <v>0.2282</v>
      </c>
      <c r="AJ145" s="72">
        <v>3.2</v>
      </c>
      <c r="AL145" s="73"/>
      <c r="AM145" s="74">
        <f t="shared" si="0"/>
        <v>0</v>
      </c>
      <c r="AN145" s="75">
        <f t="shared" si="41"/>
        <v>0</v>
      </c>
    </row>
    <row r="146" spans="1:40" ht="45">
      <c r="A146" t="str">
        <f t="shared" si="34"/>
        <v>S</v>
      </c>
      <c r="B146">
        <f ca="1">IF(OR(C146="s",C146=0),OFFSET(B146,-1,0),C146)</f>
        <v>2</v>
      </c>
      <c r="C146" t="str">
        <f ca="1">IF(OFFSET(C146,-1,0)="L",1,IF(OFFSET(C146,-1,0)=1,2,IF(OR(A146="s",A146=0),"S",IF(AND(OFFSET(C146,-1,0)=2,A146=4),3,IF(AND(OR(OFFSET(C146,-1,0)="s",OFFSET(C146,-1,0)=0),A146&lt;&gt;"s",A146&gt;OFFSET(B146,-1,0)),OFFSET(B146,-1,0),A146)))))</f>
        <v>S</v>
      </c>
      <c r="D146">
        <f>IF(OR(C146="S",C146=0),0,IF(ISERROR(K146),J146,SMALL(J146:K146,1)))</f>
        <v>0</v>
      </c>
      <c r="E146" t="e">
        <f ca="1">IF($C146=1,OFFSET(E146,-1,0)+MAX(1,COUNTIF('[1]QCI'!$A$13:$A$24,OFFSET('[1]ORÇAMENTO'!E146,-1,0))),OFFSET(E146,-1,0))</f>
        <v>#VALUE!</v>
      </c>
      <c r="F146">
        <f ca="1" t="shared" si="5"/>
        <v>2</v>
      </c>
      <c r="G146">
        <f ca="1" t="shared" si="6"/>
        <v>0</v>
      </c>
      <c r="H146">
        <f ca="1" t="shared" si="7"/>
        <v>0</v>
      </c>
      <c r="I146">
        <f ca="1" t="shared" si="8"/>
        <v>0</v>
      </c>
      <c r="J146">
        <f ca="1" t="shared" si="42"/>
        <v>0</v>
      </c>
      <c r="K146">
        <f ca="1">IF(OR($C146="S",$C146=0),0,MATCH(OFFSET($D146,0,$C146)+IF($C146&lt;&gt;1,1,COUNTIF('[1]QCI'!$A$13:$A$24,'[1]ORÇAMENTO'!E146)),OFFSET($D146,1,$C146,ROW($C$223)-ROW($C146)),0))</f>
        <v>0</v>
      </c>
      <c r="L146" s="53">
        <f t="shared" si="10"/>
      </c>
      <c r="M146" s="54" t="s">
        <v>7</v>
      </c>
      <c r="N146" s="55" t="str">
        <f>CHOOSE(1+LOG(1+2*(C146=1)+4*(C146=2)+8*(C146=3)+16*(C146=4)+32*(C146="S"),2),"","Meta","Nível 2","Nível 3","Nível 4","Serviço")</f>
        <v>Serviço</v>
      </c>
      <c r="O146" s="56" t="s">
        <v>370</v>
      </c>
      <c r="P146" s="57" t="s">
        <v>62</v>
      </c>
      <c r="Q146" s="58" t="s">
        <v>205</v>
      </c>
      <c r="R146" s="59" t="s">
        <v>209</v>
      </c>
      <c r="S146" s="60" t="s">
        <v>141</v>
      </c>
      <c r="T146" s="61">
        <f>AJ146</f>
        <v>3.2</v>
      </c>
      <c r="U146" s="62"/>
      <c r="V146" s="63" t="s">
        <v>10</v>
      </c>
      <c r="W146" s="61">
        <f t="shared" si="35"/>
        <v>0</v>
      </c>
      <c r="X146" s="64">
        <f>IF($C146="S",VTOTAL1,IF($C146=0,0,ROUND(SomaAgrup,15-13*$AF$11)))</f>
        <v>0</v>
      </c>
      <c r="Y146" s="65" t="s">
        <v>63</v>
      </c>
      <c r="Z146">
        <f t="shared" si="13"/>
      </c>
      <c r="AA146" s="66">
        <f>IF($C146="S",IF($Z146="CP",$X146,IF($Z146="RA",(($X146)*'[1]QCI'!$AA$3),0)),SomaAgrup)</f>
        <v>0</v>
      </c>
      <c r="AB146" s="67">
        <f t="shared" si="36"/>
        <v>0</v>
      </c>
      <c r="AC146" s="68">
        <f t="shared" si="37"/>
      </c>
      <c r="AD146" s="8">
        <f ca="1">IF(C146&lt;=CRONO.NivelExibicao,MAX($AD$15:OFFSET(AD146,-1,0))+IF($C146&lt;&gt;1,1,MAX(1,COUNTIF('[1]QCI'!$A$13:$A$24,OFFSET($E146,-1,0)))),"")</f>
      </c>
      <c r="AE146" s="18" t="str">
        <f t="shared" si="38"/>
        <v>SINAPI  103322 </v>
      </c>
      <c r="AF146" s="69" t="e">
        <f ca="1" t="shared" si="39"/>
        <v>#VALUE!</v>
      </c>
      <c r="AG146" s="70">
        <v>57.47</v>
      </c>
      <c r="AH146" s="71">
        <f t="shared" si="40"/>
        <v>0.2282</v>
      </c>
      <c r="AJ146" s="72">
        <v>3.2</v>
      </c>
      <c r="AL146" s="73"/>
      <c r="AM146" s="74">
        <f t="shared" si="0"/>
        <v>0</v>
      </c>
      <c r="AN146" s="75">
        <f t="shared" si="41"/>
        <v>0</v>
      </c>
    </row>
    <row r="147" spans="1:40" ht="15">
      <c r="A147">
        <f t="shared" si="34"/>
        <v>3</v>
      </c>
      <c r="B147">
        <f ca="1" t="shared" si="2"/>
        <v>2</v>
      </c>
      <c r="C147">
        <f ca="1" t="shared" si="3"/>
        <v>2</v>
      </c>
      <c r="D147">
        <f t="shared" si="4"/>
        <v>2</v>
      </c>
      <c r="E147" t="e">
        <f ca="1">IF($C147=1,OFFSET(E147,-1,0)+MAX(1,COUNTIF('[1]QCI'!$A$13:$A$24,OFFSET('[1]ORÇAMENTO'!E146,-1,0))),OFFSET(E147,-1,0))</f>
        <v>#VALUE!</v>
      </c>
      <c r="F147">
        <f ca="1" t="shared" si="5"/>
        <v>3</v>
      </c>
      <c r="G147">
        <f ca="1" t="shared" si="6"/>
        <v>0</v>
      </c>
      <c r="H147">
        <f ca="1" t="shared" si="7"/>
        <v>0</v>
      </c>
      <c r="I147">
        <f ca="1" t="shared" si="8"/>
        <v>0</v>
      </c>
      <c r="J147">
        <f aca="true" ca="1" t="shared" si="47" ref="J147:J210">IF(OR($C147="S",$C147=0),0,MATCH(0,OFFSET($D147,1,$C147,ROW($C$223)-ROW($C147)),0))</f>
        <v>2</v>
      </c>
      <c r="K147" t="e">
        <f ca="1">IF(OR($C147="S",$C147=0),0,MATCH(OFFSET($D147,0,$C147)+IF($C147&lt;&gt;1,1,COUNTIF('[1]QCI'!$A$13:$A$24,'[1]ORÇAMENTO'!E146)),OFFSET($D147,1,$C147,ROW($C$223)-ROW($C147)),0))</f>
        <v>#N/A</v>
      </c>
      <c r="L147" s="53" t="str">
        <f t="shared" si="10"/>
        <v>F</v>
      </c>
      <c r="M147" s="54" t="s">
        <v>5</v>
      </c>
      <c r="N147" s="55" t="str">
        <f t="shared" si="11"/>
        <v>Nível 2</v>
      </c>
      <c r="O147" s="56" t="s">
        <v>371</v>
      </c>
      <c r="P147" s="57" t="s">
        <v>62</v>
      </c>
      <c r="Q147" s="58"/>
      <c r="R147" s="59" t="s">
        <v>101</v>
      </c>
      <c r="S147" s="60" t="str">
        <f>REFERENCIA.Unidade</f>
        <v>-</v>
      </c>
      <c r="T147" s="61" t="e">
        <f ca="1">OFFSET('[1]CÁLCULO'!H$15,ROW($T147)-ROW(T$15),0)</f>
        <v>#VALUE!</v>
      </c>
      <c r="U147" s="62"/>
      <c r="V147" s="63" t="s">
        <v>10</v>
      </c>
      <c r="W147" s="61">
        <f t="shared" si="35"/>
        <v>0</v>
      </c>
      <c r="X147" s="64">
        <f>ROUND(SUM(X148),2)</f>
        <v>0</v>
      </c>
      <c r="Y147" s="65" t="s">
        <v>63</v>
      </c>
      <c r="Z147">
        <f t="shared" si="13"/>
      </c>
      <c r="AA147" s="66">
        <f>IF($C147="S",IF($Z147="CP",$X147,IF($Z147="RA",(($X147)*'[1]QCI'!$AA$3),0)),SomaAgrup)</f>
        <v>0</v>
      </c>
      <c r="AB147" s="67">
        <f t="shared" si="36"/>
        <v>0</v>
      </c>
      <c r="AC147" s="68">
        <f t="shared" si="37"/>
      </c>
      <c r="AD147" s="8" t="e">
        <f ca="1">IF(C147&lt;=CRONO.NivelExibicao,MAX($AD$15:OFFSET(AD147,-1,0))+IF($C147&lt;&gt;1,1,MAX(1,COUNTIF('[1]QCI'!$A$13:$A$24,OFFSET($E147,-1,0)))),"")</f>
        <v>#VALUE!</v>
      </c>
      <c r="AE147" s="18" t="b">
        <f t="shared" si="38"/>
        <v>0</v>
      </c>
      <c r="AF147" s="69" t="e">
        <f ca="1" t="shared" si="39"/>
        <v>#VALUE!</v>
      </c>
      <c r="AG147" s="70"/>
      <c r="AH147" s="71">
        <f t="shared" si="40"/>
        <v>0.2282</v>
      </c>
      <c r="AJ147" s="72"/>
      <c r="AL147" s="73"/>
      <c r="AM147" s="74">
        <f t="shared" si="0"/>
        <v>0</v>
      </c>
      <c r="AN147" s="75">
        <f t="shared" si="41"/>
        <v>0</v>
      </c>
    </row>
    <row r="148" spans="1:40" ht="30">
      <c r="A148" t="str">
        <f t="shared" si="34"/>
        <v>S</v>
      </c>
      <c r="B148">
        <f ca="1" t="shared" si="2"/>
        <v>2</v>
      </c>
      <c r="C148" t="str">
        <f ca="1" t="shared" si="3"/>
        <v>S</v>
      </c>
      <c r="D148">
        <f t="shared" si="4"/>
        <v>0</v>
      </c>
      <c r="E148" t="e">
        <f ca="1">IF($C148=1,OFFSET(E148,-1,0)+MAX(1,COUNTIF('[1]QCI'!$A$13:$A$24,OFFSET('[1]ORÇAMENTO'!E147,-1,0))),OFFSET(E148,-1,0))</f>
        <v>#VALUE!</v>
      </c>
      <c r="F148">
        <f ca="1" t="shared" si="5"/>
        <v>3</v>
      </c>
      <c r="G148">
        <f ca="1" t="shared" si="6"/>
        <v>0</v>
      </c>
      <c r="H148">
        <f ca="1" t="shared" si="7"/>
        <v>0</v>
      </c>
      <c r="I148">
        <f ca="1" t="shared" si="8"/>
        <v>0</v>
      </c>
      <c r="J148">
        <f ca="1" t="shared" si="47"/>
        <v>0</v>
      </c>
      <c r="K148">
        <f ca="1">IF(OR($C148="S",$C148=0),0,MATCH(OFFSET($D148,0,$C148)+IF($C148&lt;&gt;1,1,COUNTIF('[1]QCI'!$A$13:$A$24,'[1]ORÇAMENTO'!E147)),OFFSET($D148,1,$C148,ROW($C$223)-ROW($C148)),0))</f>
        <v>0</v>
      </c>
      <c r="L148" s="53">
        <f t="shared" si="10"/>
      </c>
      <c r="M148" s="54" t="s">
        <v>7</v>
      </c>
      <c r="N148" s="55" t="str">
        <f t="shared" si="11"/>
        <v>Serviço</v>
      </c>
      <c r="O148" s="56" t="s">
        <v>372</v>
      </c>
      <c r="P148" s="57" t="s">
        <v>70</v>
      </c>
      <c r="Q148" s="58" t="s">
        <v>102</v>
      </c>
      <c r="R148" s="59" t="s">
        <v>210</v>
      </c>
      <c r="S148" s="60" t="str">
        <f>REFERENCIA.Unidade</f>
        <v>-</v>
      </c>
      <c r="T148" s="61">
        <f>AJ148</f>
        <v>4</v>
      </c>
      <c r="U148" s="62"/>
      <c r="V148" s="63" t="s">
        <v>10</v>
      </c>
      <c r="W148" s="61">
        <f t="shared" si="35"/>
        <v>0</v>
      </c>
      <c r="X148" s="64">
        <f>IF($C148="S",VTOTAL1,IF($C148=0,0,ROUND(SomaAgrup,15-13*$AF$11)))</f>
        <v>0</v>
      </c>
      <c r="Y148" s="65" t="s">
        <v>63</v>
      </c>
      <c r="Z148">
        <f t="shared" si="13"/>
      </c>
      <c r="AA148" s="66">
        <f>IF($C148="S",IF($Z148="CP",$X148,IF($Z148="RA",(($X148)*'[1]QCI'!$AA$3),0)),SomaAgrup)</f>
        <v>0</v>
      </c>
      <c r="AB148" s="67">
        <f t="shared" si="36"/>
        <v>0</v>
      </c>
      <c r="AC148" s="68">
        <f t="shared" si="37"/>
      </c>
      <c r="AD148" s="8">
        <f ca="1">IF(C148&lt;=CRONO.NivelExibicao,MAX($AD$15:OFFSET(AD148,-1,0))+IF($C148&lt;&gt;1,1,MAX(1,COUNTIF('[1]QCI'!$A$13:$A$24,OFFSET($E148,-1,0)))),"")</f>
      </c>
      <c r="AE148" s="18" t="str">
        <f t="shared" si="38"/>
        <v>SINAPI-I 11698</v>
      </c>
      <c r="AF148" s="69" t="e">
        <f ca="1" t="shared" si="39"/>
        <v>#VALUE!</v>
      </c>
      <c r="AG148" s="70">
        <v>830.82</v>
      </c>
      <c r="AH148" s="71">
        <f t="shared" si="40"/>
        <v>0.2282</v>
      </c>
      <c r="AJ148" s="72">
        <v>4</v>
      </c>
      <c r="AL148" s="73"/>
      <c r="AM148" s="74">
        <f t="shared" si="0"/>
        <v>0</v>
      </c>
      <c r="AN148" s="75">
        <f t="shared" si="41"/>
        <v>0</v>
      </c>
    </row>
    <row r="149" spans="1:40" ht="15">
      <c r="A149">
        <f t="shared" si="34"/>
        <v>1</v>
      </c>
      <c r="B149">
        <f ca="1" t="shared" si="2"/>
        <v>1</v>
      </c>
      <c r="C149">
        <f ca="1" t="shared" si="3"/>
        <v>1</v>
      </c>
      <c r="D149">
        <f t="shared" si="4"/>
        <v>74</v>
      </c>
      <c r="E149" t="e">
        <f ca="1">IF($C149=1,OFFSET(E149,-1,0)+MAX(1,COUNTIF('[1]QCI'!$A$13:$A$24,OFFSET('[1]ORÇAMENTO'!E148,-1,0))),OFFSET(E149,-1,0))</f>
        <v>#VALUE!</v>
      </c>
      <c r="F149">
        <f ca="1" t="shared" si="5"/>
        <v>0</v>
      </c>
      <c r="G149">
        <f ca="1" t="shared" si="6"/>
        <v>0</v>
      </c>
      <c r="H149">
        <f ca="1" t="shared" si="7"/>
        <v>0</v>
      </c>
      <c r="I149">
        <f ca="1" t="shared" si="8"/>
        <v>0</v>
      </c>
      <c r="J149">
        <f ca="1" t="shared" si="47"/>
        <v>74</v>
      </c>
      <c r="K149" t="e">
        <f ca="1">IF(OR($C149="S",$C149=0),0,MATCH(OFFSET($D149,0,$C149)+IF($C149&lt;&gt;1,1,COUNTIF('[1]QCI'!$A$13:$A$24,'[1]ORÇAMENTO'!E148)),OFFSET($D149,1,$C149,ROW($C$223)-ROW($C149)),0))</f>
        <v>#VALUE!</v>
      </c>
      <c r="L149" s="53" t="str">
        <f t="shared" si="10"/>
        <v>F</v>
      </c>
      <c r="M149" s="54" t="s">
        <v>3</v>
      </c>
      <c r="N149" s="55" t="str">
        <f t="shared" si="11"/>
        <v>Meta</v>
      </c>
      <c r="O149" s="56" t="s">
        <v>373</v>
      </c>
      <c r="P149" s="57" t="s">
        <v>62</v>
      </c>
      <c r="Q149" s="58"/>
      <c r="R149" s="59" t="s">
        <v>103</v>
      </c>
      <c r="S149" s="60" t="str">
        <f>REFERENCIA.Unidade</f>
        <v>-</v>
      </c>
      <c r="T149" s="61" t="e">
        <f ca="1">OFFSET('[1]CÁLCULO'!H$15,ROW($T149)-ROW(T$15),0)</f>
        <v>#VALUE!</v>
      </c>
      <c r="U149" s="62"/>
      <c r="V149" s="63" t="s">
        <v>10</v>
      </c>
      <c r="W149" s="61">
        <f t="shared" si="35"/>
        <v>0</v>
      </c>
      <c r="X149" s="64">
        <f>ROUND(SUM(X150),2)</f>
        <v>0</v>
      </c>
      <c r="Y149" s="65" t="s">
        <v>63</v>
      </c>
      <c r="Z149">
        <f t="shared" si="13"/>
      </c>
      <c r="AA149" s="66">
        <f>IF($C149="S",IF($Z149="CP",$X149,IF($Z149="RA",(($X149)*'[1]QCI'!$AA$3),0)),SomaAgrup)</f>
        <v>0</v>
      </c>
      <c r="AB149" s="67">
        <f t="shared" si="36"/>
        <v>0</v>
      </c>
      <c r="AC149" s="68">
        <f t="shared" si="37"/>
      </c>
      <c r="AD149" s="8" t="e">
        <f ca="1">IF(C149&lt;=CRONO.NivelExibicao,MAX($AD$15:OFFSET(AD149,-1,0))+IF($C149&lt;&gt;1,1,MAX(1,COUNTIF('[1]QCI'!$A$13:$A$24,OFFSET($E149,-1,0)))),"")</f>
        <v>#VALUE!</v>
      </c>
      <c r="AE149" s="18" t="b">
        <f t="shared" si="38"/>
        <v>0</v>
      </c>
      <c r="AF149" s="69" t="e">
        <f ca="1" t="shared" si="39"/>
        <v>#VALUE!</v>
      </c>
      <c r="AG149" s="70"/>
      <c r="AH149" s="71">
        <f t="shared" si="40"/>
        <v>0.2282</v>
      </c>
      <c r="AJ149" s="72"/>
      <c r="AL149" s="73"/>
      <c r="AM149" s="74">
        <f t="shared" si="0"/>
        <v>0</v>
      </c>
      <c r="AN149" s="75">
        <f t="shared" si="41"/>
        <v>0</v>
      </c>
    </row>
    <row r="150" spans="1:40" ht="15">
      <c r="A150" t="str">
        <f t="shared" si="34"/>
        <v>S</v>
      </c>
      <c r="B150">
        <f ca="1" t="shared" si="2"/>
        <v>2</v>
      </c>
      <c r="C150">
        <f ca="1" t="shared" si="3"/>
        <v>2</v>
      </c>
      <c r="D150">
        <f t="shared" si="4"/>
        <v>7</v>
      </c>
      <c r="E150" t="e">
        <f ca="1">IF($C150=1,OFFSET(E150,-1,0)+MAX(1,COUNTIF('[1]QCI'!$A$13:$A$24,OFFSET('[1]ORÇAMENTO'!E149,-1,0))),OFFSET(E150,-1,0))</f>
        <v>#VALUE!</v>
      </c>
      <c r="F150">
        <f ca="1" t="shared" si="5"/>
        <v>1</v>
      </c>
      <c r="G150">
        <f ca="1" t="shared" si="6"/>
        <v>0</v>
      </c>
      <c r="H150">
        <f ca="1" t="shared" si="7"/>
        <v>0</v>
      </c>
      <c r="I150">
        <f ca="1" t="shared" si="8"/>
        <v>0</v>
      </c>
      <c r="J150">
        <f ca="1" t="shared" si="47"/>
        <v>7</v>
      </c>
      <c r="K150">
        <f ca="1">IF(OR($C150="S",$C150=0),0,MATCH(OFFSET($D150,0,$C150)+IF($C150&lt;&gt;1,1,COUNTIF('[1]QCI'!$A$13:$A$24,'[1]ORÇAMENTO'!E149)),OFFSET($D150,1,$C150,ROW($C$223)-ROW($C150)),0))</f>
        <v>50</v>
      </c>
      <c r="L150" s="53" t="str">
        <f t="shared" si="10"/>
        <v>F</v>
      </c>
      <c r="M150" s="54" t="s">
        <v>7</v>
      </c>
      <c r="N150" s="55" t="str">
        <f t="shared" si="11"/>
        <v>Nível 2</v>
      </c>
      <c r="O150" s="56" t="s">
        <v>374</v>
      </c>
      <c r="P150" s="57" t="s">
        <v>62</v>
      </c>
      <c r="Q150" s="58"/>
      <c r="R150" s="59" t="s">
        <v>67</v>
      </c>
      <c r="S150" s="60" t="str">
        <f>REFERENCIA.Unidade</f>
        <v>-</v>
      </c>
      <c r="T150" s="61" t="e">
        <f ca="1">OFFSET('[1]CÁLCULO'!H$15,ROW($T150)-ROW(T$15),0)</f>
        <v>#VALUE!</v>
      </c>
      <c r="U150" s="62"/>
      <c r="V150" s="63" t="s">
        <v>10</v>
      </c>
      <c r="W150" s="61">
        <f t="shared" si="35"/>
        <v>0</v>
      </c>
      <c r="X150" s="64">
        <f>ROUND(SUM(X151),2)</f>
        <v>0</v>
      </c>
      <c r="Y150" s="65" t="s">
        <v>63</v>
      </c>
      <c r="Z150">
        <f t="shared" si="13"/>
      </c>
      <c r="AA150" s="66">
        <f>IF($C150="S",IF($Z150="CP",$X150,IF($Z150="RA",(($X150)*'[1]QCI'!$AA$3),0)),SomaAgrup)</f>
        <v>0</v>
      </c>
      <c r="AB150" s="67">
        <f t="shared" si="36"/>
        <v>0</v>
      </c>
      <c r="AC150" s="68">
        <f t="shared" si="37"/>
      </c>
      <c r="AD150" s="8" t="e">
        <f ca="1">IF(C150&lt;=CRONO.NivelExibicao,MAX($AD$15:OFFSET(AD150,-1,0))+IF($C150&lt;&gt;1,1,MAX(1,COUNTIF('[1]QCI'!$A$13:$A$24,OFFSET($E150,-1,0)))),"")</f>
        <v>#VALUE!</v>
      </c>
      <c r="AE150" s="18" t="b">
        <f t="shared" si="38"/>
        <v>0</v>
      </c>
      <c r="AF150" s="69" t="e">
        <f ca="1" t="shared" si="39"/>
        <v>#VALUE!</v>
      </c>
      <c r="AG150" s="70"/>
      <c r="AH150" s="71">
        <f t="shared" si="40"/>
        <v>0.2282</v>
      </c>
      <c r="AJ150" s="72"/>
      <c r="AL150" s="73"/>
      <c r="AM150" s="74">
        <f t="shared" si="0"/>
        <v>0</v>
      </c>
      <c r="AN150" s="75">
        <f t="shared" si="41"/>
        <v>0</v>
      </c>
    </row>
    <row r="151" spans="1:40" ht="15">
      <c r="A151">
        <f t="shared" si="34"/>
        <v>3</v>
      </c>
      <c r="B151">
        <f ca="1" t="shared" si="2"/>
        <v>3</v>
      </c>
      <c r="C151">
        <f ca="1" t="shared" si="3"/>
        <v>3</v>
      </c>
      <c r="D151">
        <f t="shared" si="4"/>
        <v>6</v>
      </c>
      <c r="E151" t="e">
        <f ca="1">IF($C151=1,OFFSET(E151,-1,0)+MAX(1,COUNTIF('[1]QCI'!$A$13:$A$24,OFFSET('[1]ORÇAMENTO'!E150,-1,0))),OFFSET(E151,-1,0))</f>
        <v>#VALUE!</v>
      </c>
      <c r="F151">
        <f ca="1" t="shared" si="5"/>
        <v>1</v>
      </c>
      <c r="G151">
        <f ca="1" t="shared" si="6"/>
        <v>1</v>
      </c>
      <c r="H151">
        <f ca="1" t="shared" si="7"/>
        <v>0</v>
      </c>
      <c r="I151">
        <f ca="1" t="shared" si="8"/>
        <v>0</v>
      </c>
      <c r="J151">
        <f ca="1" t="shared" si="47"/>
        <v>6</v>
      </c>
      <c r="K151">
        <f ca="1">IF(OR($C151="S",$C151=0),0,MATCH(OFFSET($D151,0,$C151)+IF($C151&lt;&gt;1,1,COUNTIF('[1]QCI'!$A$13:$A$24,'[1]ORÇAMENTO'!E150)),OFFSET($D151,1,$C151,ROW($C$223)-ROW($C151)),0))</f>
        <v>18</v>
      </c>
      <c r="L151" s="53" t="str">
        <f t="shared" si="10"/>
        <v>F</v>
      </c>
      <c r="M151" s="54" t="s">
        <v>5</v>
      </c>
      <c r="N151" s="55" t="str">
        <f t="shared" si="11"/>
        <v>Nível 3</v>
      </c>
      <c r="O151" s="56" t="s">
        <v>375</v>
      </c>
      <c r="P151" s="57" t="s">
        <v>62</v>
      </c>
      <c r="Q151" s="58"/>
      <c r="R151" s="59" t="s">
        <v>104</v>
      </c>
      <c r="S151" s="60" t="str">
        <f>REFERENCIA.Unidade</f>
        <v>-</v>
      </c>
      <c r="T151" s="61" t="e">
        <f ca="1">OFFSET('[1]CÁLCULO'!H$15,ROW($T151)-ROW(T$15),0)</f>
        <v>#VALUE!</v>
      </c>
      <c r="U151" s="62"/>
      <c r="V151" s="63" t="s">
        <v>10</v>
      </c>
      <c r="W151" s="61">
        <f t="shared" si="35"/>
        <v>0</v>
      </c>
      <c r="X151" s="64">
        <f>ROUND(SUM(X152:X156),2)</f>
        <v>0</v>
      </c>
      <c r="Y151" s="65" t="s">
        <v>63</v>
      </c>
      <c r="Z151">
        <f t="shared" si="13"/>
      </c>
      <c r="AA151" s="66">
        <f>IF($C151="S",IF($Z151="CP",$X151,IF($Z151="RA",(($X151)*'[1]QCI'!$AA$3),0)),SomaAgrup)</f>
        <v>0</v>
      </c>
      <c r="AB151" s="67">
        <f t="shared" si="36"/>
        <v>0</v>
      </c>
      <c r="AC151" s="68">
        <f t="shared" si="37"/>
      </c>
      <c r="AD151" s="8" t="e">
        <f ca="1">IF(C151&lt;=CRONO.NivelExibicao,MAX($AD$15:OFFSET(AD151,-1,0))+IF($C151&lt;&gt;1,1,MAX(1,COUNTIF('[1]QCI'!$A$13:$A$24,OFFSET($E151,-1,0)))),"")</f>
        <v>#VALUE!</v>
      </c>
      <c r="AE151" s="18" t="b">
        <f t="shared" si="38"/>
        <v>0</v>
      </c>
      <c r="AF151" s="69" t="e">
        <f ca="1" t="shared" si="39"/>
        <v>#VALUE!</v>
      </c>
      <c r="AG151" s="70"/>
      <c r="AH151" s="71">
        <f t="shared" si="40"/>
        <v>0.2282</v>
      </c>
      <c r="AJ151" s="72"/>
      <c r="AL151" s="73"/>
      <c r="AM151" s="74">
        <f t="shared" si="0"/>
        <v>0</v>
      </c>
      <c r="AN151" s="75">
        <f t="shared" si="41"/>
        <v>0</v>
      </c>
    </row>
    <row r="152" spans="1:40" ht="30">
      <c r="A152" t="str">
        <f t="shared" si="34"/>
        <v>S</v>
      </c>
      <c r="B152">
        <f ca="1" t="shared" si="2"/>
        <v>3</v>
      </c>
      <c r="C152" t="str">
        <f ca="1" t="shared" si="3"/>
        <v>S</v>
      </c>
      <c r="D152">
        <f t="shared" si="4"/>
        <v>0</v>
      </c>
      <c r="E152" t="e">
        <f ca="1">IF($C152=1,OFFSET(E152,-1,0)+MAX(1,COUNTIF('[1]QCI'!$A$13:$A$24,OFFSET('[1]ORÇAMENTO'!E151,-1,0))),OFFSET(E152,-1,0))</f>
        <v>#VALUE!</v>
      </c>
      <c r="F152">
        <f ca="1" t="shared" si="5"/>
        <v>1</v>
      </c>
      <c r="G152">
        <f ca="1" t="shared" si="6"/>
        <v>1</v>
      </c>
      <c r="H152">
        <f ca="1" t="shared" si="7"/>
        <v>0</v>
      </c>
      <c r="I152">
        <f ca="1" t="shared" si="8"/>
        <v>0</v>
      </c>
      <c r="J152">
        <f ca="1" t="shared" si="47"/>
        <v>0</v>
      </c>
      <c r="K152">
        <f ca="1">IF(OR($C152="S",$C152=0),0,MATCH(OFFSET($D152,0,$C152)+IF($C152&lt;&gt;1,1,COUNTIF('[1]QCI'!$A$13:$A$24,'[1]ORÇAMENTO'!E151)),OFFSET($D152,1,$C152,ROW($C$223)-ROW($C152)),0))</f>
        <v>0</v>
      </c>
      <c r="L152" s="53">
        <f t="shared" si="10"/>
      </c>
      <c r="M152" s="54" t="s">
        <v>7</v>
      </c>
      <c r="N152" s="55" t="str">
        <f t="shared" si="11"/>
        <v>Serviço</v>
      </c>
      <c r="O152" s="56" t="s">
        <v>376</v>
      </c>
      <c r="P152" s="57" t="s">
        <v>68</v>
      </c>
      <c r="Q152" s="58" t="s">
        <v>134</v>
      </c>
      <c r="R152" s="59" t="s">
        <v>127</v>
      </c>
      <c r="S152" s="60" t="s">
        <v>141</v>
      </c>
      <c r="T152" s="61">
        <f>AJ152</f>
        <v>70.6</v>
      </c>
      <c r="U152" s="62"/>
      <c r="V152" s="63" t="s">
        <v>10</v>
      </c>
      <c r="W152" s="61">
        <f t="shared" si="35"/>
        <v>0</v>
      </c>
      <c r="X152" s="64">
        <f>IF($C152="S",VTOTAL1,IF($C152=0,0,ROUND(SomaAgrup,15-13*$AF$11)))</f>
        <v>0</v>
      </c>
      <c r="Y152" s="65" t="s">
        <v>63</v>
      </c>
      <c r="Z152">
        <f t="shared" si="13"/>
      </c>
      <c r="AA152" s="66">
        <f>IF($C152="S",IF($Z152="CP",$X152,IF($Z152="RA",(($X152)*'[1]QCI'!$AA$3),0)),SomaAgrup)</f>
        <v>0</v>
      </c>
      <c r="AB152" s="67">
        <f t="shared" si="36"/>
        <v>0</v>
      </c>
      <c r="AC152" s="68">
        <f t="shared" si="37"/>
      </c>
      <c r="AD152" s="8">
        <f ca="1">IF(C152&lt;=CRONO.NivelExibicao,MAX($AD$15:OFFSET(AD152,-1,0))+IF($C152&lt;&gt;1,1,MAX(1,COUNTIF('[1]QCI'!$A$13:$A$24,OFFSET($E152,-1,0)))),"")</f>
      </c>
      <c r="AE152" s="18" t="str">
        <f t="shared" si="38"/>
        <v>Composição  97647 </v>
      </c>
      <c r="AF152" s="69" t="e">
        <f ca="1" t="shared" si="39"/>
        <v>#VALUE!</v>
      </c>
      <c r="AG152" s="70">
        <v>2.81</v>
      </c>
      <c r="AH152" s="71">
        <f t="shared" si="40"/>
        <v>0.2282</v>
      </c>
      <c r="AJ152" s="72">
        <v>70.6</v>
      </c>
      <c r="AL152" s="73"/>
      <c r="AM152" s="74">
        <f t="shared" si="0"/>
        <v>0</v>
      </c>
      <c r="AN152" s="75">
        <f t="shared" si="41"/>
        <v>0</v>
      </c>
    </row>
    <row r="153" spans="1:40" ht="30">
      <c r="A153" t="str">
        <f t="shared" si="34"/>
        <v>S</v>
      </c>
      <c r="B153">
        <f ca="1" t="shared" si="2"/>
        <v>3</v>
      </c>
      <c r="C153" t="str">
        <f ca="1" t="shared" si="3"/>
        <v>S</v>
      </c>
      <c r="D153">
        <f t="shared" si="4"/>
        <v>0</v>
      </c>
      <c r="E153" t="e">
        <f ca="1">IF($C153=1,OFFSET(E153,-1,0)+MAX(1,COUNTIF('[1]QCI'!$A$13:$A$24,OFFSET('[1]ORÇAMENTO'!E152,-1,0))),OFFSET(E153,-1,0))</f>
        <v>#VALUE!</v>
      </c>
      <c r="F153">
        <f ca="1" t="shared" si="5"/>
        <v>1</v>
      </c>
      <c r="G153">
        <f ca="1" t="shared" si="6"/>
        <v>1</v>
      </c>
      <c r="H153">
        <f ca="1" t="shared" si="7"/>
        <v>0</v>
      </c>
      <c r="I153">
        <f ca="1" t="shared" si="8"/>
        <v>0</v>
      </c>
      <c r="J153">
        <f ca="1" t="shared" si="47"/>
        <v>0</v>
      </c>
      <c r="K153">
        <f ca="1">IF(OR($C153="S",$C153=0),0,MATCH(OFFSET($D153,0,$C153)+IF($C153&lt;&gt;1,1,COUNTIF('[1]QCI'!$A$13:$A$24,'[1]ORÇAMENTO'!E152)),OFFSET($D153,1,$C153,ROW($C$223)-ROW($C153)),0))</f>
        <v>0</v>
      </c>
      <c r="L153" s="53">
        <f t="shared" si="10"/>
      </c>
      <c r="M153" s="54" t="s">
        <v>7</v>
      </c>
      <c r="N153" s="55" t="str">
        <f t="shared" si="11"/>
        <v>Serviço</v>
      </c>
      <c r="O153" s="56" t="s">
        <v>377</v>
      </c>
      <c r="P153" s="57" t="s">
        <v>62</v>
      </c>
      <c r="Q153" s="58" t="s">
        <v>135</v>
      </c>
      <c r="R153" s="59" t="s">
        <v>128</v>
      </c>
      <c r="S153" s="60" t="s">
        <v>141</v>
      </c>
      <c r="T153" s="61">
        <f>AJ153</f>
        <v>70.6</v>
      </c>
      <c r="U153" s="62"/>
      <c r="V153" s="63" t="s">
        <v>10</v>
      </c>
      <c r="W153" s="61">
        <f t="shared" si="35"/>
        <v>0</v>
      </c>
      <c r="X153" s="64">
        <f>IF($C153="S",VTOTAL1,IF($C153=0,0,ROUND(SomaAgrup,15-13*$AF$11)))</f>
        <v>0</v>
      </c>
      <c r="Y153" s="65" t="s">
        <v>63</v>
      </c>
      <c r="Z153">
        <f t="shared" si="13"/>
      </c>
      <c r="AA153" s="66">
        <f>IF($C153="S",IF($Z153="CP",$X153,IF($Z153="RA",(($X153)*'[1]QCI'!$AA$3),0)),SomaAgrup)</f>
        <v>0</v>
      </c>
      <c r="AB153" s="67">
        <f t="shared" si="36"/>
        <v>0</v>
      </c>
      <c r="AC153" s="68">
        <f t="shared" si="37"/>
      </c>
      <c r="AD153" s="8">
        <f ca="1">IF(C153&lt;=CRONO.NivelExibicao,MAX($AD$15:OFFSET(AD153,-1,0))+IF($C153&lt;&gt;1,1,MAX(1,COUNTIF('[1]QCI'!$A$13:$A$24,OFFSET($E153,-1,0)))),"")</f>
      </c>
      <c r="AE153" s="18" t="str">
        <f t="shared" si="38"/>
        <v>SINAPI  97650 </v>
      </c>
      <c r="AF153" s="69" t="e">
        <f ca="1" t="shared" si="39"/>
        <v>#VALUE!</v>
      </c>
      <c r="AG153" s="70">
        <v>6.04</v>
      </c>
      <c r="AH153" s="71">
        <f t="shared" si="40"/>
        <v>0.2282</v>
      </c>
      <c r="AJ153" s="72">
        <v>70.6</v>
      </c>
      <c r="AL153" s="73"/>
      <c r="AM153" s="74">
        <f t="shared" si="0"/>
        <v>0</v>
      </c>
      <c r="AN153" s="75">
        <f t="shared" si="41"/>
        <v>0</v>
      </c>
    </row>
    <row r="154" spans="1:40" ht="45">
      <c r="A154" t="str">
        <f t="shared" si="34"/>
        <v>S</v>
      </c>
      <c r="B154">
        <f ca="1" t="shared" si="2"/>
        <v>3</v>
      </c>
      <c r="C154" t="str">
        <f ca="1" t="shared" si="3"/>
        <v>S</v>
      </c>
      <c r="D154">
        <f t="shared" si="4"/>
        <v>0</v>
      </c>
      <c r="E154" t="e">
        <f ca="1">IF($C154=1,OFFSET(E154,-1,0)+MAX(1,COUNTIF('[1]QCI'!$A$13:$A$24,OFFSET('[1]ORÇAMENTO'!E153,-1,0))),OFFSET(E154,-1,0))</f>
        <v>#VALUE!</v>
      </c>
      <c r="F154">
        <f ca="1" t="shared" si="5"/>
        <v>1</v>
      </c>
      <c r="G154">
        <f ca="1" t="shared" si="6"/>
        <v>1</v>
      </c>
      <c r="H154">
        <f ca="1" t="shared" si="7"/>
        <v>0</v>
      </c>
      <c r="I154">
        <f ca="1" t="shared" si="8"/>
        <v>0</v>
      </c>
      <c r="J154">
        <f ca="1" t="shared" si="47"/>
        <v>0</v>
      </c>
      <c r="K154">
        <f ca="1">IF(OR($C154="S",$C154=0),0,MATCH(OFFSET($D154,0,$C154)+IF($C154&lt;&gt;1,1,COUNTIF('[1]QCI'!$A$13:$A$24,'[1]ORÇAMENTO'!E153)),OFFSET($D154,1,$C154,ROW($C$223)-ROW($C154)),0))</f>
        <v>0</v>
      </c>
      <c r="L154" s="53">
        <f t="shared" si="10"/>
      </c>
      <c r="M154" s="54" t="s">
        <v>7</v>
      </c>
      <c r="N154" s="55" t="str">
        <f t="shared" si="11"/>
        <v>Serviço</v>
      </c>
      <c r="O154" s="56" t="s">
        <v>378</v>
      </c>
      <c r="P154" s="57" t="s">
        <v>62</v>
      </c>
      <c r="Q154" s="58" t="s">
        <v>138</v>
      </c>
      <c r="R154" s="59" t="s">
        <v>131</v>
      </c>
      <c r="S154" s="60" t="s">
        <v>141</v>
      </c>
      <c r="T154" s="61">
        <f>AJ154</f>
        <v>70.6</v>
      </c>
      <c r="U154" s="62"/>
      <c r="V154" s="63" t="s">
        <v>10</v>
      </c>
      <c r="W154" s="61">
        <f t="shared" si="35"/>
        <v>0</v>
      </c>
      <c r="X154" s="64">
        <f>IF($C154="S",VTOTAL1,IF($C154=0,0,ROUND(SomaAgrup,15-13*$AF$11)))</f>
        <v>0</v>
      </c>
      <c r="Y154" s="65" t="s">
        <v>63</v>
      </c>
      <c r="Z154">
        <f t="shared" si="13"/>
      </c>
      <c r="AA154" s="66">
        <f>IF($C154="S",IF($Z154="CP",$X154,IF($Z154="RA",(($X154)*'[1]QCI'!$AA$3),0)),SomaAgrup)</f>
        <v>0</v>
      </c>
      <c r="AB154" s="67">
        <f t="shared" si="36"/>
        <v>0</v>
      </c>
      <c r="AC154" s="68">
        <f t="shared" si="37"/>
      </c>
      <c r="AD154" s="8">
        <f ca="1">IF(C154&lt;=CRONO.NivelExibicao,MAX($AD$15:OFFSET(AD154,-1,0))+IF($C154&lt;&gt;1,1,MAX(1,COUNTIF('[1]QCI'!$A$13:$A$24,OFFSET($E154,-1,0)))),"")</f>
      </c>
      <c r="AE154" s="18" t="str">
        <f t="shared" si="38"/>
        <v>SINAPI  92539 </v>
      </c>
      <c r="AF154" s="69" t="e">
        <f ca="1" t="shared" si="39"/>
        <v>#VALUE!</v>
      </c>
      <c r="AG154" s="70">
        <v>80.97</v>
      </c>
      <c r="AH154" s="71">
        <f t="shared" si="40"/>
        <v>0.2282</v>
      </c>
      <c r="AJ154" s="72">
        <v>70.6</v>
      </c>
      <c r="AL154" s="73"/>
      <c r="AM154" s="74">
        <f t="shared" si="0"/>
        <v>0</v>
      </c>
      <c r="AN154" s="75">
        <f t="shared" si="41"/>
        <v>0</v>
      </c>
    </row>
    <row r="155" spans="1:40" ht="30">
      <c r="A155" t="str">
        <f aca="true" t="shared" si="48" ref="A155:A195">CHOOSE(1+LOG(1+2*(ORÇAMENTO.Nivel="Meta")+4*(ORÇAMENTO.Nivel="Nível 2")+8*(ORÇAMENTO.Nivel="Nível 3")+16*(ORÇAMENTO.Nivel="Nível 4")+32*(ORÇAMENTO.Nivel="Serviço"),2),0,1,2,3,4,"S")</f>
        <v>S</v>
      </c>
      <c r="B155">
        <f aca="true" ca="1" t="shared" si="49" ref="B155:B181">IF(OR(C155="s",C155=0),OFFSET(B155,-1,0),C155)</f>
        <v>3</v>
      </c>
      <c r="C155" t="str">
        <f aca="true" ca="1" t="shared" si="50" ref="C155:C181">IF(OFFSET(C155,-1,0)="L",1,IF(OFFSET(C155,-1,0)=1,2,IF(OR(A155="s",A155=0),"S",IF(AND(OFFSET(C155,-1,0)=2,A155=4),3,IF(AND(OR(OFFSET(C155,-1,0)="s",OFFSET(C155,-1,0)=0),A155&lt;&gt;"s",A155&gt;OFFSET(B155,-1,0)),OFFSET(B155,-1,0),A155)))))</f>
        <v>S</v>
      </c>
      <c r="D155">
        <f aca="true" t="shared" si="51" ref="D155:D181">IF(OR(C155="S",C155=0),0,IF(ISERROR(K155),J155,SMALL(J155:K155,1)))</f>
        <v>0</v>
      </c>
      <c r="E155" t="e">
        <f ca="1">IF($C155=1,OFFSET(E155,-1,0)+MAX(1,COUNTIF('[1]QCI'!$A$13:$A$24,OFFSET('[1]ORÇAMENTO'!E155,-1,0))),OFFSET(E155,-1,0))</f>
        <v>#VALUE!</v>
      </c>
      <c r="F155">
        <f aca="true" ca="1" t="shared" si="52" ref="F155:F181">IF($C155=1,0,IF($C155=2,OFFSET(F155,-1,0)+1,OFFSET(F155,-1,0)))</f>
        <v>1</v>
      </c>
      <c r="G155">
        <f aca="true" ca="1" t="shared" si="53" ref="G155:G181">IF(AND($C155&lt;=2,$C155&lt;&gt;0),0,IF($C155=3,OFFSET(G155,-1,0)+1,OFFSET(G155,-1,0)))</f>
        <v>1</v>
      </c>
      <c r="H155">
        <f aca="true" ca="1" t="shared" si="54" ref="H155:H181">IF(AND($C155&lt;=3,$C155&lt;&gt;0),0,IF($C155=4,OFFSET(H155,-1,0)+1,OFFSET(H155,-1,0)))</f>
        <v>0</v>
      </c>
      <c r="I155">
        <f aca="true" ca="1" t="shared" si="55" ref="I155:I181">IF(AND($C155&lt;=4,$C155&lt;&gt;0),0,IF(AND($C155="S",$X155&gt;0),OFFSET(I155,-1,0)+1,OFFSET(I155,-1,0)))</f>
        <v>0</v>
      </c>
      <c r="J155">
        <f ca="1" t="shared" si="47"/>
        <v>0</v>
      </c>
      <c r="K155">
        <f ca="1">IF(OR($C155="S",$C155=0),0,MATCH(OFFSET($D155,0,$C155)+IF($C155&lt;&gt;1,1,COUNTIF('[1]QCI'!$A$13:$A$24,'[1]ORÇAMENTO'!E155)),OFFSET($D155,1,$C155,ROW($C$223)-ROW($C155)),0))</f>
        <v>0</v>
      </c>
      <c r="L155" s="53">
        <f aca="true" t="shared" si="56" ref="L155:L181">IF(OR($X155&gt;0,$C155=1,$C155=2,$C155=3,$C155=4),"F","")</f>
      </c>
      <c r="M155" s="54" t="s">
        <v>7</v>
      </c>
      <c r="N155" s="55" t="str">
        <f aca="true" t="shared" si="57" ref="N155:N181">CHOOSE(1+LOG(1+2*(C155=1)+4*(C155=2)+8*(C155=3)+16*(C155=4)+32*(C155="S"),2),"","Meta","Nível 2","Nível 3","Nível 4","Serviço")</f>
        <v>Serviço</v>
      </c>
      <c r="O155" s="56" t="s">
        <v>379</v>
      </c>
      <c r="P155" s="57" t="s">
        <v>62</v>
      </c>
      <c r="Q155" s="58" t="s">
        <v>139</v>
      </c>
      <c r="R155" s="59" t="s">
        <v>132</v>
      </c>
      <c r="S155" s="60" t="s">
        <v>141</v>
      </c>
      <c r="T155" s="61">
        <f>AJ155</f>
        <v>70.6</v>
      </c>
      <c r="U155" s="62"/>
      <c r="V155" s="63" t="s">
        <v>10</v>
      </c>
      <c r="W155" s="61">
        <f aca="true" t="shared" si="58" ref="W155:W195">IF($C155="S",ROUND(IF(TIPOORCAMENTO="Proposto",ORÇAMENTO.CustoUnitario*(1+$AH155),ORÇAMENTO.PrecoUnitarioLicitado),15-13*$AF$10),0)</f>
        <v>0</v>
      </c>
      <c r="X155" s="64">
        <f aca="true" t="shared" si="59" ref="X155:X195">IF($C155="S",VTOTAL1,IF($C155=0,0,ROUND(SomaAgrup,15-13*$AF$11)))</f>
        <v>0</v>
      </c>
      <c r="Y155" s="65" t="s">
        <v>63</v>
      </c>
      <c r="Z155">
        <f aca="true" t="shared" si="60" ref="Z155:Z181">IF(AND($C155="S",$X155&gt;0),IF(ISBLANK($Y155),"RA",LEFT($Y155,2)),"")</f>
      </c>
      <c r="AA155" s="66">
        <f>IF($C155="S",IF($Z155="CP",$X155,IF($Z155="RA",(($X155)*'[1]QCI'!$AA$3),0)),SomaAgrup)</f>
        <v>0</v>
      </c>
      <c r="AB155" s="67">
        <f aca="true" t="shared" si="61" ref="AB155:AB195">IF($C155="S",IF($Z155="OU",ROUND($X155,2),0),SomaAgrup)</f>
        <v>0</v>
      </c>
      <c r="AC155" s="68">
        <f aca="true" t="shared" si="62" ref="AC155:AC195">IF($N155="","",IF(ORÇAMENTO.Descricao="","DESCRIÇÃO",IF(AND($C155="S",ORÇAMENTO.Unidade=""),"UNIDADE",IF($X155&lt;0,"VALOR NEGATIVO",IF(OR(AND(TIPOORCAMENTO="Proposto",$AG155&lt;&gt;"",$AG155&gt;0,ORÇAMENTO.CustoUnitario&gt;$AG155),AND(TIPOORCAMENTO="LICITADO",ORÇAMENTO.PrecoUnitarioLicitado&gt;$AN155)),"ACIMA REF.","")))))</f>
      </c>
      <c r="AD155" s="8">
        <f ca="1">IF(C155&lt;=CRONO.NivelExibicao,MAX($AD$15:OFFSET(AD155,-1,0))+IF($C155&lt;&gt;1,1,MAX(1,COUNTIF('[1]QCI'!$A$13:$A$24,OFFSET($E155,-1,0)))),"")</f>
      </c>
      <c r="AE155" s="18" t="str">
        <f aca="true" t="shared" si="63" ref="AE155:AE195">IF(AND($C155="S",ORÇAMENTO.CodBarra&lt;&gt;""),IF(ORÇAMENTO.Fonte="",ORÇAMENTO.CodBarra,CONCATENATE(ORÇAMENTO.Fonte," ",ORÇAMENTO.CodBarra)))</f>
        <v>SINAPI  94195 </v>
      </c>
      <c r="AF155" s="69" t="e">
        <f aca="true" ca="1" t="shared" si="64" ref="AF155:AF195">IF(ISERROR(INDIRECT(ORÇAMENTO.BancoRef)),"(abra o arquivo 'Referência "&amp;Excel_BuiltIn_Database&amp;".xls)",IF(OR($C155&lt;&gt;"S",ORÇAMENTO.CodBarra=""),"(Sem Código)",IF(ISERROR(MATCH($AE155,INDIRECT(ORÇAMENTO.BancoRef),0)),"(Código não identificado nas referências)",MATCH($AE155,INDIRECT(ORÇAMENTO.BancoRef),0))))</f>
        <v>#VALUE!</v>
      </c>
      <c r="AG155" s="70">
        <v>34.47</v>
      </c>
      <c r="AH155" s="71">
        <f aca="true" t="shared" si="65" ref="AH155:AH195">ROUND(IF(ISNUMBER(ORÇAMENTO.OpcaoBDI),ORÇAMENTO.OpcaoBDI,IF(LEFT(ORÇAMENTO.OpcaoBDI,3)="BDI",HLOOKUP(ORÇAMENTO.OpcaoBDI,$F$4:$H$5,2,FALSE),0)),15-11*$AF$9)</f>
        <v>0.2282</v>
      </c>
      <c r="AJ155" s="72">
        <v>70.6</v>
      </c>
      <c r="AL155" s="73"/>
      <c r="AM155" s="74">
        <f t="shared" si="0"/>
        <v>0</v>
      </c>
      <c r="AN155" s="75">
        <f aca="true" t="shared" si="66" ref="AN155:AN195">ROUND(ORÇAMENTO.CustoUnitario*(1+$AH155),2)</f>
        <v>0</v>
      </c>
    </row>
    <row r="156" spans="1:40" ht="30">
      <c r="A156" t="str">
        <f t="shared" si="48"/>
        <v>S</v>
      </c>
      <c r="B156">
        <f ca="1" t="shared" si="49"/>
        <v>3</v>
      </c>
      <c r="C156" t="str">
        <f ca="1" t="shared" si="50"/>
        <v>S</v>
      </c>
      <c r="D156">
        <f t="shared" si="51"/>
        <v>0</v>
      </c>
      <c r="E156" t="e">
        <f ca="1">IF($C156=1,OFFSET(E156,-1,0)+MAX(1,COUNTIF('[1]QCI'!$A$13:$A$24,OFFSET('[1]ORÇAMENTO'!E156,-1,0))),OFFSET(E156,-1,0))</f>
        <v>#VALUE!</v>
      </c>
      <c r="F156">
        <f ca="1" t="shared" si="52"/>
        <v>1</v>
      </c>
      <c r="G156">
        <f ca="1" t="shared" si="53"/>
        <v>1</v>
      </c>
      <c r="H156">
        <f ca="1" t="shared" si="54"/>
        <v>0</v>
      </c>
      <c r="I156">
        <f ca="1" t="shared" si="55"/>
        <v>0</v>
      </c>
      <c r="J156">
        <f ca="1" t="shared" si="47"/>
        <v>0</v>
      </c>
      <c r="K156">
        <f ca="1">IF(OR($C156="S",$C156=0),0,MATCH(OFFSET($D156,0,$C156)+IF($C156&lt;&gt;1,1,COUNTIF('[1]QCI'!$A$13:$A$24,'[1]ORÇAMENTO'!E156)),OFFSET($D156,1,$C156,ROW($C$223)-ROW($C156)),0))</f>
        <v>0</v>
      </c>
      <c r="L156" s="53">
        <f t="shared" si="56"/>
      </c>
      <c r="M156" s="54" t="s">
        <v>7</v>
      </c>
      <c r="N156" s="55" t="str">
        <f t="shared" si="57"/>
        <v>Serviço</v>
      </c>
      <c r="O156" s="56" t="s">
        <v>380</v>
      </c>
      <c r="P156" s="57" t="s">
        <v>62</v>
      </c>
      <c r="Q156" s="58" t="s">
        <v>200</v>
      </c>
      <c r="R156" s="59" t="s">
        <v>201</v>
      </c>
      <c r="S156" s="60" t="s">
        <v>143</v>
      </c>
      <c r="T156" s="61">
        <f>AJ156</f>
        <v>25.3</v>
      </c>
      <c r="U156" s="62"/>
      <c r="V156" s="63" t="s">
        <v>10</v>
      </c>
      <c r="W156" s="61">
        <f t="shared" si="58"/>
        <v>0</v>
      </c>
      <c r="X156" s="64">
        <f t="shared" si="59"/>
        <v>0</v>
      </c>
      <c r="Y156" s="65" t="s">
        <v>63</v>
      </c>
      <c r="Z156">
        <f t="shared" si="60"/>
      </c>
      <c r="AA156" s="66">
        <f>IF($C156="S",IF($Z156="CP",$X156,IF($Z156="RA",(($X156)*'[1]QCI'!$AA$3),0)),SomaAgrup)</f>
        <v>0</v>
      </c>
      <c r="AB156" s="67">
        <f t="shared" si="61"/>
        <v>0</v>
      </c>
      <c r="AC156" s="68">
        <f t="shared" si="62"/>
      </c>
      <c r="AD156" s="8">
        <f ca="1">IF(C156&lt;=CRONO.NivelExibicao,MAX($AD$15:OFFSET(AD156,-1,0))+IF($C156&lt;&gt;1,1,MAX(1,COUNTIF('[1]QCI'!$A$13:$A$24,OFFSET($E156,-1,0)))),"")</f>
      </c>
      <c r="AE156" s="18" t="str">
        <f t="shared" si="63"/>
        <v>SINAPI  94231 </v>
      </c>
      <c r="AF156" s="69" t="e">
        <f ca="1" t="shared" si="64"/>
        <v>#VALUE!</v>
      </c>
      <c r="AG156" s="70">
        <v>52.59</v>
      </c>
      <c r="AH156" s="71">
        <f t="shared" si="65"/>
        <v>0.2282</v>
      </c>
      <c r="AJ156" s="72">
        <v>25.3</v>
      </c>
      <c r="AL156" s="73"/>
      <c r="AM156" s="74">
        <f t="shared" si="0"/>
        <v>0</v>
      </c>
      <c r="AN156" s="75">
        <f t="shared" si="66"/>
        <v>0</v>
      </c>
    </row>
    <row r="157" spans="1:40" ht="15">
      <c r="A157">
        <f t="shared" si="48"/>
        <v>1</v>
      </c>
      <c r="B157">
        <f ca="1" t="shared" si="49"/>
        <v>1</v>
      </c>
      <c r="C157">
        <f ca="1" t="shared" si="50"/>
        <v>1</v>
      </c>
      <c r="D157">
        <f t="shared" si="51"/>
        <v>66</v>
      </c>
      <c r="E157" t="e">
        <f ca="1">IF($C157=1,OFFSET(E157,-1,0)+MAX(1,COUNTIF('[1]QCI'!$A$13:$A$24,OFFSET('[1]ORÇAMENTO'!E157,-1,0))),OFFSET(E157,-1,0))</f>
        <v>#VALUE!</v>
      </c>
      <c r="F157">
        <f ca="1" t="shared" si="52"/>
        <v>0</v>
      </c>
      <c r="G157">
        <f ca="1" t="shared" si="53"/>
        <v>0</v>
      </c>
      <c r="H157">
        <f ca="1" t="shared" si="54"/>
        <v>0</v>
      </c>
      <c r="I157">
        <f ca="1" t="shared" si="55"/>
        <v>0</v>
      </c>
      <c r="J157">
        <f ca="1" t="shared" si="47"/>
        <v>66</v>
      </c>
      <c r="K157" t="e">
        <f ca="1">IF(OR($C157="S",$C157=0),0,MATCH(OFFSET($D157,0,$C157)+IF($C157&lt;&gt;1,1,COUNTIF('[1]QCI'!$A$13:$A$24,'[1]ORÇAMENTO'!E157)),OFFSET($D157,1,$C157,ROW($C$223)-ROW($C157)),0))</f>
        <v>#VALUE!</v>
      </c>
      <c r="L157" s="53" t="str">
        <f t="shared" si="56"/>
        <v>F</v>
      </c>
      <c r="M157" s="54" t="s">
        <v>3</v>
      </c>
      <c r="N157" s="55" t="str">
        <f t="shared" si="57"/>
        <v>Meta</v>
      </c>
      <c r="O157" s="56" t="s">
        <v>381</v>
      </c>
      <c r="P157" s="57" t="s">
        <v>62</v>
      </c>
      <c r="Q157" s="58"/>
      <c r="R157" s="59" t="s">
        <v>105</v>
      </c>
      <c r="S157" s="60" t="str">
        <f aca="true" t="shared" si="67" ref="S157:S193">REFERENCIA.Unidade</f>
        <v>-</v>
      </c>
      <c r="T157" s="61" t="e">
        <f ca="1">OFFSET('[1]CÁLCULO'!H$15,ROW($T157)-ROW(T$15),0)</f>
        <v>#VALUE!</v>
      </c>
      <c r="U157" s="62"/>
      <c r="V157" s="63" t="s">
        <v>10</v>
      </c>
      <c r="W157" s="61">
        <f t="shared" si="58"/>
        <v>0</v>
      </c>
      <c r="X157" s="64">
        <f>ROUND(SUM(X158),2)</f>
        <v>0</v>
      </c>
      <c r="Y157" s="65" t="s">
        <v>63</v>
      </c>
      <c r="Z157">
        <f t="shared" si="60"/>
      </c>
      <c r="AA157" s="66">
        <f>IF($C157="S",IF($Z157="CP",$X157,IF($Z157="RA",(($X157)*'[1]QCI'!$AA$3),0)),SomaAgrup)</f>
        <v>0</v>
      </c>
      <c r="AB157" s="67">
        <f t="shared" si="61"/>
        <v>0</v>
      </c>
      <c r="AC157" s="68">
        <f t="shared" si="62"/>
      </c>
      <c r="AD157" s="8" t="e">
        <f ca="1">IF(C157&lt;=CRONO.NivelExibicao,MAX($AD$15:OFFSET(AD157,-1,0))+IF($C157&lt;&gt;1,1,MAX(1,COUNTIF('[1]QCI'!$A$13:$A$24,OFFSET($E157,-1,0)))),"")</f>
        <v>#VALUE!</v>
      </c>
      <c r="AE157" s="18" t="b">
        <f t="shared" si="63"/>
        <v>0</v>
      </c>
      <c r="AF157" s="69" t="e">
        <f ca="1" t="shared" si="64"/>
        <v>#VALUE!</v>
      </c>
      <c r="AG157" s="70"/>
      <c r="AH157" s="71">
        <f t="shared" si="65"/>
        <v>0.2282</v>
      </c>
      <c r="AJ157" s="72"/>
      <c r="AL157" s="73"/>
      <c r="AM157" s="74">
        <f t="shared" si="0"/>
        <v>0</v>
      </c>
      <c r="AN157" s="75">
        <f t="shared" si="66"/>
        <v>0</v>
      </c>
    </row>
    <row r="158" spans="1:40" ht="15">
      <c r="A158" t="str">
        <f t="shared" si="48"/>
        <v>S</v>
      </c>
      <c r="B158">
        <f ca="1" t="shared" si="49"/>
        <v>2</v>
      </c>
      <c r="C158">
        <f ca="1" t="shared" si="50"/>
        <v>2</v>
      </c>
      <c r="D158">
        <f t="shared" si="51"/>
        <v>7</v>
      </c>
      <c r="E158" t="e">
        <f ca="1">IF($C158=1,OFFSET(E158,-1,0)+MAX(1,COUNTIF('[1]QCI'!$A$13:$A$24,OFFSET('[1]ORÇAMENTO'!E158,-1,0))),OFFSET(E158,-1,0))</f>
        <v>#VALUE!</v>
      </c>
      <c r="F158">
        <f ca="1" t="shared" si="52"/>
        <v>1</v>
      </c>
      <c r="G158">
        <f ca="1" t="shared" si="53"/>
        <v>0</v>
      </c>
      <c r="H158">
        <f ca="1" t="shared" si="54"/>
        <v>0</v>
      </c>
      <c r="I158">
        <f ca="1" t="shared" si="55"/>
        <v>0</v>
      </c>
      <c r="J158">
        <f ca="1" t="shared" si="47"/>
        <v>7</v>
      </c>
      <c r="K158">
        <f ca="1">IF(OR($C158="S",$C158=0),0,MATCH(OFFSET($D158,0,$C158)+IF($C158&lt;&gt;1,1,COUNTIF('[1]QCI'!$A$13:$A$24,'[1]ORÇAMENTO'!E158)),OFFSET($D158,1,$C158,ROW($C$223)-ROW($C158)),0))</f>
        <v>42</v>
      </c>
      <c r="L158" s="53" t="str">
        <f t="shared" si="56"/>
        <v>F</v>
      </c>
      <c r="M158" s="54" t="s">
        <v>7</v>
      </c>
      <c r="N158" s="55" t="str">
        <f t="shared" si="57"/>
        <v>Nível 2</v>
      </c>
      <c r="O158" s="56" t="s">
        <v>382</v>
      </c>
      <c r="P158" s="57" t="s">
        <v>62</v>
      </c>
      <c r="Q158" s="58"/>
      <c r="R158" s="59" t="s">
        <v>67</v>
      </c>
      <c r="S158" s="60" t="str">
        <f t="shared" si="67"/>
        <v>-</v>
      </c>
      <c r="T158" s="61" t="e">
        <f ca="1">OFFSET('[1]CÁLCULO'!H$15,ROW($T158)-ROW(T$15),0)</f>
        <v>#VALUE!</v>
      </c>
      <c r="U158" s="62"/>
      <c r="V158" s="63" t="s">
        <v>10</v>
      </c>
      <c r="W158" s="61">
        <f t="shared" si="58"/>
        <v>0</v>
      </c>
      <c r="X158" s="64">
        <f>ROUND(SUM(X159),2)</f>
        <v>0</v>
      </c>
      <c r="Y158" s="65" t="s">
        <v>63</v>
      </c>
      <c r="Z158">
        <f t="shared" si="60"/>
      </c>
      <c r="AA158" s="66">
        <f>IF($C158="S",IF($Z158="CP",$X158,IF($Z158="RA",(($X158)*'[1]QCI'!$AA$3),0)),SomaAgrup)</f>
        <v>0</v>
      </c>
      <c r="AB158" s="67">
        <f t="shared" si="61"/>
        <v>0</v>
      </c>
      <c r="AC158" s="68">
        <f t="shared" si="62"/>
      </c>
      <c r="AD158" s="8" t="e">
        <f ca="1">IF(C158&lt;=CRONO.NivelExibicao,MAX($AD$15:OFFSET(AD158,-1,0))+IF($C158&lt;&gt;1,1,MAX(1,COUNTIF('[1]QCI'!$A$13:$A$24,OFFSET($E158,-1,0)))),"")</f>
        <v>#VALUE!</v>
      </c>
      <c r="AE158" s="18" t="b">
        <f t="shared" si="63"/>
        <v>0</v>
      </c>
      <c r="AF158" s="69" t="e">
        <f ca="1" t="shared" si="64"/>
        <v>#VALUE!</v>
      </c>
      <c r="AG158" s="70"/>
      <c r="AH158" s="71">
        <f t="shared" si="65"/>
        <v>0.2282</v>
      </c>
      <c r="AJ158" s="72"/>
      <c r="AL158" s="73"/>
      <c r="AM158" s="74">
        <f t="shared" si="0"/>
        <v>0</v>
      </c>
      <c r="AN158" s="75">
        <f t="shared" si="66"/>
        <v>0</v>
      </c>
    </row>
    <row r="159" spans="1:40" ht="15">
      <c r="A159">
        <f t="shared" si="48"/>
        <v>3</v>
      </c>
      <c r="B159">
        <f ca="1" t="shared" si="49"/>
        <v>3</v>
      </c>
      <c r="C159">
        <f ca="1" t="shared" si="50"/>
        <v>3</v>
      </c>
      <c r="D159">
        <f t="shared" si="51"/>
        <v>6</v>
      </c>
      <c r="E159" t="e">
        <f ca="1">IF($C159=1,OFFSET(E159,-1,0)+MAX(1,COUNTIF('[1]QCI'!$A$13:$A$24,OFFSET('[1]ORÇAMENTO'!E159,-1,0))),OFFSET(E159,-1,0))</f>
        <v>#VALUE!</v>
      </c>
      <c r="F159">
        <f ca="1" t="shared" si="52"/>
        <v>1</v>
      </c>
      <c r="G159">
        <f ca="1" t="shared" si="53"/>
        <v>1</v>
      </c>
      <c r="H159">
        <f ca="1" t="shared" si="54"/>
        <v>0</v>
      </c>
      <c r="I159">
        <f ca="1" t="shared" si="55"/>
        <v>0</v>
      </c>
      <c r="J159">
        <f ca="1" t="shared" si="47"/>
        <v>6</v>
      </c>
      <c r="K159">
        <f ca="1">IF(OR($C159="S",$C159=0),0,MATCH(OFFSET($D159,0,$C159)+IF($C159&lt;&gt;1,1,COUNTIF('[1]QCI'!$A$13:$A$24,'[1]ORÇAMENTO'!E159)),OFFSET($D159,1,$C159,ROW($C$223)-ROW($C159)),0))</f>
        <v>10</v>
      </c>
      <c r="L159" s="53" t="str">
        <f t="shared" si="56"/>
        <v>F</v>
      </c>
      <c r="M159" s="54" t="s">
        <v>5</v>
      </c>
      <c r="N159" s="55" t="str">
        <f t="shared" si="57"/>
        <v>Nível 3</v>
      </c>
      <c r="O159" s="56" t="s">
        <v>383</v>
      </c>
      <c r="P159" s="57" t="s">
        <v>62</v>
      </c>
      <c r="Q159" s="58"/>
      <c r="R159" s="59" t="s">
        <v>104</v>
      </c>
      <c r="S159" s="60" t="str">
        <f t="shared" si="67"/>
        <v>-</v>
      </c>
      <c r="T159" s="61" t="e">
        <f ca="1">OFFSET('[1]CÁLCULO'!H$15,ROW($T159)-ROW(T$15),0)</f>
        <v>#VALUE!</v>
      </c>
      <c r="U159" s="62"/>
      <c r="V159" s="63" t="s">
        <v>10</v>
      </c>
      <c r="W159" s="61">
        <f t="shared" si="58"/>
        <v>0</v>
      </c>
      <c r="X159" s="64">
        <f>ROUND(SUM(X160:X164),2)</f>
        <v>0</v>
      </c>
      <c r="Y159" s="65" t="s">
        <v>63</v>
      </c>
      <c r="Z159">
        <f t="shared" si="60"/>
      </c>
      <c r="AA159" s="66">
        <f>IF($C159="S",IF($Z159="CP",$X159,IF($Z159="RA",(($X159)*'[1]QCI'!$AA$3),0)),SomaAgrup)</f>
        <v>0</v>
      </c>
      <c r="AB159" s="67">
        <f t="shared" si="61"/>
        <v>0</v>
      </c>
      <c r="AC159" s="68">
        <f t="shared" si="62"/>
      </c>
      <c r="AD159" s="8" t="e">
        <f ca="1">IF(C159&lt;=CRONO.NivelExibicao,MAX($AD$15:OFFSET(AD159,-1,0))+IF($C159&lt;&gt;1,1,MAX(1,COUNTIF('[1]QCI'!$A$13:$A$24,OFFSET($E159,-1,0)))),"")</f>
        <v>#VALUE!</v>
      </c>
      <c r="AE159" s="18" t="b">
        <f t="shared" si="63"/>
        <v>0</v>
      </c>
      <c r="AF159" s="69" t="e">
        <f ca="1" t="shared" si="64"/>
        <v>#VALUE!</v>
      </c>
      <c r="AG159" s="70"/>
      <c r="AH159" s="71">
        <f t="shared" si="65"/>
        <v>0.2282</v>
      </c>
      <c r="AJ159" s="72"/>
      <c r="AL159" s="73"/>
      <c r="AM159" s="74">
        <f t="shared" si="0"/>
        <v>0</v>
      </c>
      <c r="AN159" s="75">
        <f t="shared" si="66"/>
        <v>0</v>
      </c>
    </row>
    <row r="160" spans="1:40" ht="30">
      <c r="A160" t="str">
        <f t="shared" si="48"/>
        <v>S</v>
      </c>
      <c r="B160">
        <f ca="1" t="shared" si="49"/>
        <v>3</v>
      </c>
      <c r="C160" t="str">
        <f ca="1" t="shared" si="50"/>
        <v>S</v>
      </c>
      <c r="D160">
        <f t="shared" si="51"/>
        <v>0</v>
      </c>
      <c r="E160" t="e">
        <f ca="1">IF($C160=1,OFFSET(E160,-1,0)+MAX(1,COUNTIF('[1]QCI'!$A$13:$A$24,OFFSET('[1]ORÇAMENTO'!E160,-1,0))),OFFSET(E160,-1,0))</f>
        <v>#VALUE!</v>
      </c>
      <c r="F160">
        <f ca="1" t="shared" si="52"/>
        <v>1</v>
      </c>
      <c r="G160">
        <f ca="1" t="shared" si="53"/>
        <v>1</v>
      </c>
      <c r="H160">
        <f ca="1" t="shared" si="54"/>
        <v>0</v>
      </c>
      <c r="I160">
        <f ca="1" t="shared" si="55"/>
        <v>0</v>
      </c>
      <c r="J160">
        <f ca="1" t="shared" si="47"/>
        <v>0</v>
      </c>
      <c r="K160">
        <f ca="1">IF(OR($C160="S",$C160=0),0,MATCH(OFFSET($D160,0,$C160)+IF($C160&lt;&gt;1,1,COUNTIF('[1]QCI'!$A$13:$A$24,'[1]ORÇAMENTO'!E160)),OFFSET($D160,1,$C160,ROW($C$223)-ROW($C160)),0))</f>
        <v>0</v>
      </c>
      <c r="L160" s="53">
        <f t="shared" si="56"/>
      </c>
      <c r="M160" s="54" t="s">
        <v>7</v>
      </c>
      <c r="N160" s="55" t="str">
        <f t="shared" si="57"/>
        <v>Serviço</v>
      </c>
      <c r="O160" s="56" t="s">
        <v>384</v>
      </c>
      <c r="P160" s="57" t="s">
        <v>62</v>
      </c>
      <c r="Q160" s="58" t="s">
        <v>134</v>
      </c>
      <c r="R160" s="59" t="s">
        <v>127</v>
      </c>
      <c r="S160" s="60" t="s">
        <v>141</v>
      </c>
      <c r="T160" s="61">
        <f>AJ160</f>
        <v>70.22</v>
      </c>
      <c r="U160" s="62"/>
      <c r="V160" s="63" t="s">
        <v>10</v>
      </c>
      <c r="W160" s="61">
        <f t="shared" si="58"/>
        <v>0</v>
      </c>
      <c r="X160" s="64">
        <f t="shared" si="59"/>
        <v>0</v>
      </c>
      <c r="Y160" s="65" t="s">
        <v>63</v>
      </c>
      <c r="Z160">
        <f t="shared" si="60"/>
      </c>
      <c r="AA160" s="66">
        <f>IF($C160="S",IF($Z160="CP",$X160,IF($Z160="RA",(($X160)*'[1]QCI'!$AA$3),0)),SomaAgrup)</f>
        <v>0</v>
      </c>
      <c r="AB160" s="67">
        <f t="shared" si="61"/>
        <v>0</v>
      </c>
      <c r="AC160" s="68">
        <f t="shared" si="62"/>
      </c>
      <c r="AD160" s="8">
        <f ca="1">IF(C160&lt;=CRONO.NivelExibicao,MAX($AD$15:OFFSET(AD160,-1,0))+IF($C160&lt;&gt;1,1,MAX(1,COUNTIF('[1]QCI'!$A$13:$A$24,OFFSET($E160,-1,0)))),"")</f>
      </c>
      <c r="AE160" s="18" t="str">
        <f t="shared" si="63"/>
        <v>SINAPI  97647 </v>
      </c>
      <c r="AF160" s="69" t="e">
        <f ca="1" t="shared" si="64"/>
        <v>#VALUE!</v>
      </c>
      <c r="AG160" s="70">
        <v>2.81</v>
      </c>
      <c r="AH160" s="71">
        <f t="shared" si="65"/>
        <v>0.2282</v>
      </c>
      <c r="AJ160" s="72">
        <v>70.22</v>
      </c>
      <c r="AL160" s="73"/>
      <c r="AM160" s="74">
        <f t="shared" si="0"/>
        <v>0</v>
      </c>
      <c r="AN160" s="75">
        <f t="shared" si="66"/>
        <v>0</v>
      </c>
    </row>
    <row r="161" spans="1:40" ht="30">
      <c r="A161" t="str">
        <f t="shared" si="48"/>
        <v>S</v>
      </c>
      <c r="B161">
        <f ca="1" t="shared" si="49"/>
        <v>3</v>
      </c>
      <c r="C161" t="str">
        <f ca="1" t="shared" si="50"/>
        <v>S</v>
      </c>
      <c r="D161">
        <f t="shared" si="51"/>
        <v>0</v>
      </c>
      <c r="E161" t="e">
        <f ca="1">IF($C161=1,OFFSET(E161,-1,0)+MAX(1,COUNTIF('[1]QCI'!$A$13:$A$24,OFFSET('[1]ORÇAMENTO'!E161,-1,0))),OFFSET(E161,-1,0))</f>
        <v>#VALUE!</v>
      </c>
      <c r="F161">
        <f ca="1" t="shared" si="52"/>
        <v>1</v>
      </c>
      <c r="G161">
        <f ca="1" t="shared" si="53"/>
        <v>1</v>
      </c>
      <c r="H161">
        <f ca="1" t="shared" si="54"/>
        <v>0</v>
      </c>
      <c r="I161">
        <f ca="1" t="shared" si="55"/>
        <v>0</v>
      </c>
      <c r="J161">
        <f ca="1" t="shared" si="47"/>
        <v>0</v>
      </c>
      <c r="K161">
        <f ca="1">IF(OR($C161="S",$C161=0),0,MATCH(OFFSET($D161,0,$C161)+IF($C161&lt;&gt;1,1,COUNTIF('[1]QCI'!$A$13:$A$24,'[1]ORÇAMENTO'!E161)),OFFSET($D161,1,$C161,ROW($C$223)-ROW($C161)),0))</f>
        <v>0</v>
      </c>
      <c r="L161" s="53">
        <f t="shared" si="56"/>
      </c>
      <c r="M161" s="54" t="s">
        <v>7</v>
      </c>
      <c r="N161" s="55" t="str">
        <f t="shared" si="57"/>
        <v>Serviço</v>
      </c>
      <c r="O161" s="56" t="s">
        <v>385</v>
      </c>
      <c r="P161" s="57" t="s">
        <v>62</v>
      </c>
      <c r="Q161" s="58" t="s">
        <v>135</v>
      </c>
      <c r="R161" s="59" t="s">
        <v>128</v>
      </c>
      <c r="S161" s="60" t="s">
        <v>141</v>
      </c>
      <c r="T161" s="61">
        <f>AJ161</f>
        <v>70.22</v>
      </c>
      <c r="U161" s="62"/>
      <c r="V161" s="63" t="s">
        <v>10</v>
      </c>
      <c r="W161" s="61">
        <f t="shared" si="58"/>
        <v>0</v>
      </c>
      <c r="X161" s="64">
        <f t="shared" si="59"/>
        <v>0</v>
      </c>
      <c r="Y161" s="65" t="s">
        <v>63</v>
      </c>
      <c r="Z161">
        <f t="shared" si="60"/>
      </c>
      <c r="AA161" s="66">
        <f>IF($C161="S",IF($Z161="CP",$X161,IF($Z161="RA",(($X161)*'[1]QCI'!$AA$3),0)),SomaAgrup)</f>
        <v>0</v>
      </c>
      <c r="AB161" s="67">
        <f t="shared" si="61"/>
        <v>0</v>
      </c>
      <c r="AC161" s="68">
        <f t="shared" si="62"/>
      </c>
      <c r="AD161" s="8">
        <f ca="1">IF(C161&lt;=CRONO.NivelExibicao,MAX($AD$15:OFFSET(AD161,-1,0))+IF($C161&lt;&gt;1,1,MAX(1,COUNTIF('[1]QCI'!$A$13:$A$24,OFFSET($E161,-1,0)))),"")</f>
      </c>
      <c r="AE161" s="18" t="str">
        <f t="shared" si="63"/>
        <v>SINAPI  97650 </v>
      </c>
      <c r="AF161" s="69" t="e">
        <f ca="1" t="shared" si="64"/>
        <v>#VALUE!</v>
      </c>
      <c r="AG161" s="70">
        <v>6.04</v>
      </c>
      <c r="AH161" s="71">
        <f t="shared" si="65"/>
        <v>0.2282</v>
      </c>
      <c r="AJ161" s="72">
        <v>70.22</v>
      </c>
      <c r="AL161" s="73"/>
      <c r="AM161" s="74">
        <f t="shared" si="0"/>
        <v>0</v>
      </c>
      <c r="AN161" s="75">
        <f t="shared" si="66"/>
        <v>0</v>
      </c>
    </row>
    <row r="162" spans="1:40" ht="45">
      <c r="A162" t="str">
        <f t="shared" si="48"/>
        <v>S</v>
      </c>
      <c r="B162">
        <f ca="1" t="shared" si="49"/>
        <v>3</v>
      </c>
      <c r="C162" t="str">
        <f ca="1" t="shared" si="50"/>
        <v>S</v>
      </c>
      <c r="D162">
        <f t="shared" si="51"/>
        <v>0</v>
      </c>
      <c r="E162" t="e">
        <f ca="1">IF($C162=1,OFFSET(E162,-1,0)+MAX(1,COUNTIF('[1]QCI'!$A$13:$A$24,OFFSET('[1]ORÇAMENTO'!E162,-1,0))),OFFSET(E162,-1,0))</f>
        <v>#VALUE!</v>
      </c>
      <c r="F162">
        <f ca="1" t="shared" si="52"/>
        <v>1</v>
      </c>
      <c r="G162">
        <f ca="1" t="shared" si="53"/>
        <v>1</v>
      </c>
      <c r="H162">
        <f ca="1" t="shared" si="54"/>
        <v>0</v>
      </c>
      <c r="I162">
        <f ca="1" t="shared" si="55"/>
        <v>0</v>
      </c>
      <c r="J162">
        <f ca="1" t="shared" si="47"/>
        <v>0</v>
      </c>
      <c r="K162">
        <f ca="1">IF(OR($C162="S",$C162=0),0,MATCH(OFFSET($D162,0,$C162)+IF($C162&lt;&gt;1,1,COUNTIF('[1]QCI'!$A$13:$A$24,'[1]ORÇAMENTO'!E162)),OFFSET($D162,1,$C162,ROW($C$223)-ROW($C162)),0))</f>
        <v>0</v>
      </c>
      <c r="L162" s="53">
        <f t="shared" si="56"/>
      </c>
      <c r="M162" s="54" t="s">
        <v>7</v>
      </c>
      <c r="N162" s="55" t="str">
        <f t="shared" si="57"/>
        <v>Serviço</v>
      </c>
      <c r="O162" s="56" t="s">
        <v>386</v>
      </c>
      <c r="P162" s="57" t="s">
        <v>62</v>
      </c>
      <c r="Q162" s="58" t="s">
        <v>138</v>
      </c>
      <c r="R162" s="59" t="s">
        <v>131</v>
      </c>
      <c r="S162" s="60" t="s">
        <v>141</v>
      </c>
      <c r="T162" s="61">
        <f>AJ162</f>
        <v>70.22</v>
      </c>
      <c r="U162" s="62"/>
      <c r="V162" s="63" t="s">
        <v>10</v>
      </c>
      <c r="W162" s="61">
        <f t="shared" si="58"/>
        <v>0</v>
      </c>
      <c r="X162" s="64">
        <f t="shared" si="59"/>
        <v>0</v>
      </c>
      <c r="Y162" s="65" t="s">
        <v>63</v>
      </c>
      <c r="Z162">
        <f t="shared" si="60"/>
      </c>
      <c r="AA162" s="66">
        <f>IF($C162="S",IF($Z162="CP",$X162,IF($Z162="RA",(($X162)*'[1]QCI'!$AA$3),0)),SomaAgrup)</f>
        <v>0</v>
      </c>
      <c r="AB162" s="67">
        <f t="shared" si="61"/>
        <v>0</v>
      </c>
      <c r="AC162" s="68">
        <f t="shared" si="62"/>
      </c>
      <c r="AD162" s="8">
        <f ca="1">IF(C162&lt;=CRONO.NivelExibicao,MAX($AD$15:OFFSET(AD162,-1,0))+IF($C162&lt;&gt;1,1,MAX(1,COUNTIF('[1]QCI'!$A$13:$A$24,OFFSET($E162,-1,0)))),"")</f>
      </c>
      <c r="AE162" s="18" t="str">
        <f t="shared" si="63"/>
        <v>SINAPI  92539 </v>
      </c>
      <c r="AF162" s="69" t="e">
        <f ca="1" t="shared" si="64"/>
        <v>#VALUE!</v>
      </c>
      <c r="AG162" s="70">
        <v>80.97</v>
      </c>
      <c r="AH162" s="71">
        <f t="shared" si="65"/>
        <v>0.2282</v>
      </c>
      <c r="AJ162" s="72">
        <v>70.22</v>
      </c>
      <c r="AL162" s="73"/>
      <c r="AM162" s="74">
        <f t="shared" si="0"/>
        <v>0</v>
      </c>
      <c r="AN162" s="75">
        <f t="shared" si="66"/>
        <v>0</v>
      </c>
    </row>
    <row r="163" spans="1:40" ht="30">
      <c r="A163" t="str">
        <f t="shared" si="48"/>
        <v>S</v>
      </c>
      <c r="B163">
        <f ca="1" t="shared" si="49"/>
        <v>3</v>
      </c>
      <c r="C163" t="str">
        <f ca="1" t="shared" si="50"/>
        <v>S</v>
      </c>
      <c r="D163">
        <f t="shared" si="51"/>
        <v>0</v>
      </c>
      <c r="E163" t="e">
        <f ca="1">IF($C163=1,OFFSET(E163,-1,0)+MAX(1,COUNTIF('[1]QCI'!$A$13:$A$24,OFFSET('[1]ORÇAMENTO'!E164,-1,0))),OFFSET(E163,-1,0))</f>
        <v>#VALUE!</v>
      </c>
      <c r="F163">
        <f ca="1" t="shared" si="52"/>
        <v>1</v>
      </c>
      <c r="G163">
        <f ca="1" t="shared" si="53"/>
        <v>1</v>
      </c>
      <c r="H163">
        <f ca="1" t="shared" si="54"/>
        <v>0</v>
      </c>
      <c r="I163">
        <f ca="1" t="shared" si="55"/>
        <v>0</v>
      </c>
      <c r="J163">
        <f ca="1" t="shared" si="47"/>
        <v>0</v>
      </c>
      <c r="K163">
        <f ca="1">IF(OR($C163="S",$C163=0),0,MATCH(OFFSET($D163,0,$C163)+IF($C163&lt;&gt;1,1,COUNTIF('[1]QCI'!$A$13:$A$24,'[1]ORÇAMENTO'!E164)),OFFSET($D163,1,$C163,ROW($C$223)-ROW($C163)),0))</f>
        <v>0</v>
      </c>
      <c r="L163" s="53">
        <f t="shared" si="56"/>
      </c>
      <c r="M163" s="54" t="s">
        <v>7</v>
      </c>
      <c r="N163" s="55" t="str">
        <f t="shared" si="57"/>
        <v>Serviço</v>
      </c>
      <c r="O163" s="56" t="s">
        <v>387</v>
      </c>
      <c r="P163" s="57" t="s">
        <v>62</v>
      </c>
      <c r="Q163" s="58" t="s">
        <v>139</v>
      </c>
      <c r="R163" s="59" t="s">
        <v>132</v>
      </c>
      <c r="S163" s="60" t="s">
        <v>141</v>
      </c>
      <c r="T163" s="61">
        <f>AJ163</f>
        <v>70.22</v>
      </c>
      <c r="U163" s="62"/>
      <c r="V163" s="63" t="s">
        <v>10</v>
      </c>
      <c r="W163" s="61">
        <f t="shared" si="58"/>
        <v>0</v>
      </c>
      <c r="X163" s="64">
        <f t="shared" si="59"/>
        <v>0</v>
      </c>
      <c r="Y163" s="65" t="s">
        <v>63</v>
      </c>
      <c r="Z163">
        <f t="shared" si="60"/>
      </c>
      <c r="AA163" s="66">
        <f>IF($C163="S",IF($Z163="CP",$X163,IF($Z163="RA",(($X163)*'[1]QCI'!$AA$3),0)),SomaAgrup)</f>
        <v>0</v>
      </c>
      <c r="AB163" s="67">
        <f t="shared" si="61"/>
        <v>0</v>
      </c>
      <c r="AC163" s="68">
        <f t="shared" si="62"/>
      </c>
      <c r="AD163" s="8">
        <f ca="1">IF(C163&lt;=CRONO.NivelExibicao,MAX($AD$15:OFFSET(AD163,-1,0))+IF($C163&lt;&gt;1,1,MAX(1,COUNTIF('[1]QCI'!$A$13:$A$24,OFFSET($E163,-1,0)))),"")</f>
      </c>
      <c r="AE163" s="18" t="str">
        <f t="shared" si="63"/>
        <v>SINAPI  94195 </v>
      </c>
      <c r="AF163" s="69" t="e">
        <f ca="1" t="shared" si="64"/>
        <v>#VALUE!</v>
      </c>
      <c r="AG163" s="70">
        <v>34.47</v>
      </c>
      <c r="AH163" s="71">
        <f t="shared" si="65"/>
        <v>0.2282</v>
      </c>
      <c r="AJ163" s="72">
        <v>70.22</v>
      </c>
      <c r="AL163" s="73"/>
      <c r="AM163" s="74">
        <f t="shared" si="0"/>
        <v>0</v>
      </c>
      <c r="AN163" s="75">
        <f t="shared" si="66"/>
        <v>0</v>
      </c>
    </row>
    <row r="164" spans="1:40" ht="30">
      <c r="A164" t="str">
        <f t="shared" si="48"/>
        <v>S</v>
      </c>
      <c r="B164">
        <f ca="1" t="shared" si="49"/>
        <v>3</v>
      </c>
      <c r="C164" t="str">
        <f ca="1" t="shared" si="50"/>
        <v>S</v>
      </c>
      <c r="D164">
        <f t="shared" si="51"/>
        <v>0</v>
      </c>
      <c r="E164" t="e">
        <f ca="1">IF($C164=1,OFFSET(E164,-1,0)+MAX(1,COUNTIF('[1]QCI'!$A$13:$A$24,OFFSET('[1]ORÇAMENTO'!E165,-1,0))),OFFSET(E164,-1,0))</f>
        <v>#VALUE!</v>
      </c>
      <c r="F164">
        <f ca="1" t="shared" si="52"/>
        <v>1</v>
      </c>
      <c r="G164">
        <f ca="1" t="shared" si="53"/>
        <v>1</v>
      </c>
      <c r="H164">
        <f ca="1" t="shared" si="54"/>
        <v>0</v>
      </c>
      <c r="I164">
        <f ca="1" t="shared" si="55"/>
        <v>0</v>
      </c>
      <c r="J164">
        <f ca="1" t="shared" si="47"/>
        <v>0</v>
      </c>
      <c r="K164">
        <f ca="1">IF(OR($C164="S",$C164=0),0,MATCH(OFFSET($D164,0,$C164)+IF($C164&lt;&gt;1,1,COUNTIF('[1]QCI'!$A$13:$A$24,'[1]ORÇAMENTO'!E165)),OFFSET($D164,1,$C164,ROW($C$223)-ROW($C164)),0))</f>
        <v>0</v>
      </c>
      <c r="L164" s="53">
        <f t="shared" si="56"/>
      </c>
      <c r="M164" s="54" t="s">
        <v>7</v>
      </c>
      <c r="N164" s="55" t="str">
        <f t="shared" si="57"/>
        <v>Serviço</v>
      </c>
      <c r="O164" s="56" t="s">
        <v>388</v>
      </c>
      <c r="P164" s="57" t="s">
        <v>62</v>
      </c>
      <c r="Q164" s="58" t="s">
        <v>200</v>
      </c>
      <c r="R164" s="59" t="s">
        <v>201</v>
      </c>
      <c r="S164" s="60" t="s">
        <v>143</v>
      </c>
      <c r="T164" s="61">
        <f>AJ164</f>
        <v>25.3</v>
      </c>
      <c r="U164" s="62"/>
      <c r="V164" s="63" t="s">
        <v>10</v>
      </c>
      <c r="W164" s="61">
        <f t="shared" si="58"/>
        <v>0</v>
      </c>
      <c r="X164" s="64">
        <f t="shared" si="59"/>
        <v>0</v>
      </c>
      <c r="Y164" s="65" t="s">
        <v>63</v>
      </c>
      <c r="Z164">
        <f t="shared" si="60"/>
      </c>
      <c r="AA164" s="66">
        <f>IF($C164="S",IF($Z164="CP",$X164,IF($Z164="RA",(($X164)*'[1]QCI'!$AA$3),0)),SomaAgrup)</f>
        <v>0</v>
      </c>
      <c r="AB164" s="67">
        <f t="shared" si="61"/>
        <v>0</v>
      </c>
      <c r="AC164" s="68">
        <f t="shared" si="62"/>
      </c>
      <c r="AD164" s="8">
        <f ca="1">IF(C164&lt;=CRONO.NivelExibicao,MAX($AD$15:OFFSET(AD164,-1,0))+IF($C164&lt;&gt;1,1,MAX(1,COUNTIF('[1]QCI'!$A$13:$A$24,OFFSET($E164,-1,0)))),"")</f>
      </c>
      <c r="AE164" s="18" t="str">
        <f t="shared" si="63"/>
        <v>SINAPI  94231 </v>
      </c>
      <c r="AF164" s="69" t="e">
        <f ca="1" t="shared" si="64"/>
        <v>#VALUE!</v>
      </c>
      <c r="AG164" s="70">
        <v>52.59</v>
      </c>
      <c r="AH164" s="71">
        <f t="shared" si="65"/>
        <v>0.2282</v>
      </c>
      <c r="AJ164" s="72">
        <v>25.3</v>
      </c>
      <c r="AL164" s="73"/>
      <c r="AM164" s="74">
        <f t="shared" si="0"/>
        <v>0</v>
      </c>
      <c r="AN164" s="75">
        <f t="shared" si="66"/>
        <v>0</v>
      </c>
    </row>
    <row r="165" spans="1:40" ht="15">
      <c r="A165">
        <f t="shared" si="48"/>
        <v>1</v>
      </c>
      <c r="B165">
        <f ca="1" t="shared" si="49"/>
        <v>1</v>
      </c>
      <c r="C165">
        <f ca="1" t="shared" si="50"/>
        <v>1</v>
      </c>
      <c r="D165">
        <f t="shared" si="51"/>
        <v>58</v>
      </c>
      <c r="E165" t="e">
        <f ca="1">IF($C165=1,OFFSET(E165,-1,0)+MAX(1,COUNTIF('[1]QCI'!$A$13:$A$24,OFFSET('[1]ORÇAMENTO'!E166,-1,0))),OFFSET(E165,-1,0))</f>
        <v>#VALUE!</v>
      </c>
      <c r="F165">
        <f ca="1" t="shared" si="52"/>
        <v>0</v>
      </c>
      <c r="G165">
        <f ca="1" t="shared" si="53"/>
        <v>0</v>
      </c>
      <c r="H165">
        <f ca="1" t="shared" si="54"/>
        <v>0</v>
      </c>
      <c r="I165">
        <f ca="1" t="shared" si="55"/>
        <v>0</v>
      </c>
      <c r="J165">
        <f ca="1" t="shared" si="47"/>
        <v>58</v>
      </c>
      <c r="K165" t="e">
        <f ca="1">IF(OR($C165="S",$C165=0),0,MATCH(OFFSET($D165,0,$C165)+IF($C165&lt;&gt;1,1,COUNTIF('[1]QCI'!$A$13:$A$24,'[1]ORÇAMENTO'!E166)),OFFSET($D165,1,$C165,ROW($C$223)-ROW($C165)),0))</f>
        <v>#VALUE!</v>
      </c>
      <c r="L165" s="53" t="str">
        <f t="shared" si="56"/>
        <v>F</v>
      </c>
      <c r="M165" s="54" t="s">
        <v>3</v>
      </c>
      <c r="N165" s="55" t="str">
        <f t="shared" si="57"/>
        <v>Meta</v>
      </c>
      <c r="O165" s="56" t="s">
        <v>389</v>
      </c>
      <c r="P165" s="57" t="s">
        <v>62</v>
      </c>
      <c r="Q165" s="58"/>
      <c r="R165" s="59" t="s">
        <v>106</v>
      </c>
      <c r="S165" s="60" t="str">
        <f t="shared" si="67"/>
        <v>-</v>
      </c>
      <c r="T165" s="61" t="e">
        <f ca="1">OFFSET('[1]CÁLCULO'!H$15,ROW($T165)-ROW(T$15),0)</f>
        <v>#VALUE!</v>
      </c>
      <c r="U165" s="62"/>
      <c r="V165" s="63" t="s">
        <v>10</v>
      </c>
      <c r="W165" s="61">
        <f t="shared" si="58"/>
        <v>0</v>
      </c>
      <c r="X165" s="64">
        <f>ROUND(SUM(X166,X169),2)</f>
        <v>0</v>
      </c>
      <c r="Y165" s="65" t="s">
        <v>63</v>
      </c>
      <c r="Z165">
        <f t="shared" si="60"/>
      </c>
      <c r="AA165" s="66">
        <f>IF($C165="S",IF($Z165="CP",$X165,IF($Z165="RA",(($X165)*'[1]QCI'!$AA$3),0)),SomaAgrup)</f>
        <v>0</v>
      </c>
      <c r="AB165" s="67">
        <f t="shared" si="61"/>
        <v>0</v>
      </c>
      <c r="AC165" s="68">
        <f t="shared" si="62"/>
      </c>
      <c r="AD165" s="8" t="e">
        <f ca="1">IF(C165&lt;=CRONO.NivelExibicao,MAX($AD$15:OFFSET(AD165,-1,0))+IF($C165&lt;&gt;1,1,MAX(1,COUNTIF('[1]QCI'!$A$13:$A$24,OFFSET($E165,-1,0)))),"")</f>
        <v>#VALUE!</v>
      </c>
      <c r="AE165" s="18" t="b">
        <f t="shared" si="63"/>
        <v>0</v>
      </c>
      <c r="AF165" s="69" t="e">
        <f ca="1" t="shared" si="64"/>
        <v>#VALUE!</v>
      </c>
      <c r="AG165" s="70"/>
      <c r="AH165" s="71">
        <f t="shared" si="65"/>
        <v>0.2282</v>
      </c>
      <c r="AJ165" s="72"/>
      <c r="AL165" s="73"/>
      <c r="AM165" s="74">
        <f t="shared" si="0"/>
        <v>0</v>
      </c>
      <c r="AN165" s="75">
        <f t="shared" si="66"/>
        <v>0</v>
      </c>
    </row>
    <row r="166" spans="1:40" ht="15">
      <c r="A166" t="str">
        <f t="shared" si="48"/>
        <v>S</v>
      </c>
      <c r="B166">
        <f ca="1" t="shared" si="49"/>
        <v>2</v>
      </c>
      <c r="C166">
        <f ca="1" t="shared" si="50"/>
        <v>2</v>
      </c>
      <c r="D166">
        <f t="shared" si="51"/>
        <v>6</v>
      </c>
      <c r="E166" t="e">
        <f ca="1">IF($C166=1,OFFSET(E166,-1,0)+MAX(1,COUNTIF('[1]QCI'!$A$13:$A$24,OFFSET('[1]ORÇAMENTO'!E167,-1,0))),OFFSET(E166,-1,0))</f>
        <v>#VALUE!</v>
      </c>
      <c r="F166">
        <f ca="1" t="shared" si="52"/>
        <v>1</v>
      </c>
      <c r="G166">
        <f ca="1" t="shared" si="53"/>
        <v>0</v>
      </c>
      <c r="H166">
        <f ca="1" t="shared" si="54"/>
        <v>0</v>
      </c>
      <c r="I166">
        <f ca="1" t="shared" si="55"/>
        <v>0</v>
      </c>
      <c r="J166">
        <f ca="1" t="shared" si="47"/>
        <v>6</v>
      </c>
      <c r="K166">
        <f ca="1">IF(OR($C166="S",$C166=0),0,MATCH(OFFSET($D166,0,$C166)+IF($C166&lt;&gt;1,1,COUNTIF('[1]QCI'!$A$13:$A$24,'[1]ORÇAMENTO'!E167)),OFFSET($D166,1,$C166,ROW($C$223)-ROW($C166)),0))</f>
        <v>34</v>
      </c>
      <c r="L166" s="53" t="str">
        <f t="shared" si="56"/>
        <v>F</v>
      </c>
      <c r="M166" s="54" t="s">
        <v>7</v>
      </c>
      <c r="N166" s="55" t="str">
        <f t="shared" si="57"/>
        <v>Nível 2</v>
      </c>
      <c r="O166" s="56" t="s">
        <v>390</v>
      </c>
      <c r="P166" s="57" t="s">
        <v>62</v>
      </c>
      <c r="Q166" s="58"/>
      <c r="R166" s="59" t="s">
        <v>67</v>
      </c>
      <c r="S166" s="60" t="str">
        <f t="shared" si="67"/>
        <v>-</v>
      </c>
      <c r="T166" s="61" t="e">
        <f ca="1">OFFSET('[1]CÁLCULO'!H$15,ROW($T166)-ROW(T$15),0)</f>
        <v>#VALUE!</v>
      </c>
      <c r="U166" s="62"/>
      <c r="V166" s="63" t="s">
        <v>10</v>
      </c>
      <c r="W166" s="61">
        <f t="shared" si="58"/>
        <v>0</v>
      </c>
      <c r="X166" s="64">
        <f>ROUND(SUM(X167),2)</f>
        <v>0</v>
      </c>
      <c r="Y166" s="65" t="s">
        <v>63</v>
      </c>
      <c r="Z166">
        <f t="shared" si="60"/>
      </c>
      <c r="AA166" s="66">
        <f>IF($C166="S",IF($Z166="CP",$X166,IF($Z166="RA",(($X166)*'[1]QCI'!$AA$3),0)),SomaAgrup)</f>
        <v>0</v>
      </c>
      <c r="AB166" s="67">
        <f t="shared" si="61"/>
        <v>0</v>
      </c>
      <c r="AC166" s="68">
        <f t="shared" si="62"/>
      </c>
      <c r="AD166" s="8" t="e">
        <f ca="1">IF(C166&lt;=CRONO.NivelExibicao,MAX($AD$15:OFFSET(AD166,-1,0))+IF($C166&lt;&gt;1,1,MAX(1,COUNTIF('[1]QCI'!$A$13:$A$24,OFFSET($E166,-1,0)))),"")</f>
        <v>#VALUE!</v>
      </c>
      <c r="AE166" s="18" t="b">
        <f t="shared" si="63"/>
        <v>0</v>
      </c>
      <c r="AF166" s="69" t="e">
        <f ca="1" t="shared" si="64"/>
        <v>#VALUE!</v>
      </c>
      <c r="AG166" s="70"/>
      <c r="AH166" s="71">
        <f t="shared" si="65"/>
        <v>0.2282</v>
      </c>
      <c r="AJ166" s="72"/>
      <c r="AL166" s="73"/>
      <c r="AM166" s="74">
        <f t="shared" si="0"/>
        <v>0</v>
      </c>
      <c r="AN166" s="75">
        <f t="shared" si="66"/>
        <v>0</v>
      </c>
    </row>
    <row r="167" spans="1:40" ht="15">
      <c r="A167">
        <f t="shared" si="48"/>
        <v>3</v>
      </c>
      <c r="B167">
        <f ca="1" t="shared" si="49"/>
        <v>3</v>
      </c>
      <c r="C167">
        <f ca="1" t="shared" si="50"/>
        <v>3</v>
      </c>
      <c r="D167">
        <f t="shared" si="51"/>
        <v>2</v>
      </c>
      <c r="E167" t="e">
        <f ca="1">IF($C167=1,OFFSET(E167,-1,0)+MAX(1,COUNTIF('[1]QCI'!$A$13:$A$24,OFFSET('[1]ORÇAMENTO'!E168,-1,0))),OFFSET(E167,-1,0))</f>
        <v>#VALUE!</v>
      </c>
      <c r="F167">
        <f ca="1" t="shared" si="52"/>
        <v>1</v>
      </c>
      <c r="G167">
        <f ca="1" t="shared" si="53"/>
        <v>1</v>
      </c>
      <c r="H167">
        <f ca="1" t="shared" si="54"/>
        <v>0</v>
      </c>
      <c r="I167">
        <f ca="1" t="shared" si="55"/>
        <v>0</v>
      </c>
      <c r="J167">
        <f ca="1" t="shared" si="47"/>
        <v>5</v>
      </c>
      <c r="K167">
        <f ca="1">IF(OR($C167="S",$C167=0),0,MATCH(OFFSET($D167,0,$C167)+IF($C167&lt;&gt;1,1,COUNTIF('[1]QCI'!$A$13:$A$24,'[1]ORÇAMENTO'!E168)),OFFSET($D167,1,$C167,ROW($C$223)-ROW($C167)),0))</f>
        <v>2</v>
      </c>
      <c r="L167" s="53" t="str">
        <f t="shared" si="56"/>
        <v>F</v>
      </c>
      <c r="M167" s="54" t="s">
        <v>5</v>
      </c>
      <c r="N167" s="55" t="str">
        <f t="shared" si="57"/>
        <v>Nível 3</v>
      </c>
      <c r="O167" s="56" t="s">
        <v>391</v>
      </c>
      <c r="P167" s="57" t="s">
        <v>62</v>
      </c>
      <c r="Q167" s="58"/>
      <c r="R167" s="59" t="s">
        <v>107</v>
      </c>
      <c r="S167" s="60" t="str">
        <f t="shared" si="67"/>
        <v>-</v>
      </c>
      <c r="T167" s="61" t="e">
        <f ca="1">OFFSET('[1]CÁLCULO'!H$15,ROW($T167)-ROW(T$15),0)</f>
        <v>#VALUE!</v>
      </c>
      <c r="U167" s="62"/>
      <c r="V167" s="63" t="s">
        <v>10</v>
      </c>
      <c r="W167" s="61">
        <f t="shared" si="58"/>
        <v>0</v>
      </c>
      <c r="X167" s="64">
        <f>ROUND(SUM(X168),2)</f>
        <v>0</v>
      </c>
      <c r="Y167" s="65" t="s">
        <v>63</v>
      </c>
      <c r="Z167">
        <f t="shared" si="60"/>
      </c>
      <c r="AA167" s="66">
        <f>IF($C167="S",IF($Z167="CP",$X167,IF($Z167="RA",(($X167)*'[1]QCI'!$AA$3),0)),SomaAgrup)</f>
        <v>0</v>
      </c>
      <c r="AB167" s="67">
        <f t="shared" si="61"/>
        <v>0</v>
      </c>
      <c r="AC167" s="68">
        <f t="shared" si="62"/>
      </c>
      <c r="AD167" s="8" t="e">
        <f ca="1">IF(C167&lt;=CRONO.NivelExibicao,MAX($AD$15:OFFSET(AD167,-1,0))+IF($C167&lt;&gt;1,1,MAX(1,COUNTIF('[1]QCI'!$A$13:$A$24,OFFSET($E167,-1,0)))),"")</f>
        <v>#VALUE!</v>
      </c>
      <c r="AE167" s="18" t="b">
        <f t="shared" si="63"/>
        <v>0</v>
      </c>
      <c r="AF167" s="69" t="e">
        <f ca="1" t="shared" si="64"/>
        <v>#VALUE!</v>
      </c>
      <c r="AG167" s="70"/>
      <c r="AH167" s="71">
        <f t="shared" si="65"/>
        <v>0.2282</v>
      </c>
      <c r="AJ167" s="72"/>
      <c r="AL167" s="73"/>
      <c r="AM167" s="74">
        <f t="shared" si="0"/>
        <v>0</v>
      </c>
      <c r="AN167" s="75">
        <f t="shared" si="66"/>
        <v>0</v>
      </c>
    </row>
    <row r="168" spans="1:40" ht="45">
      <c r="A168" t="str">
        <f t="shared" si="48"/>
        <v>S</v>
      </c>
      <c r="B168">
        <f ca="1" t="shared" si="49"/>
        <v>3</v>
      </c>
      <c r="C168" t="str">
        <f ca="1" t="shared" si="50"/>
        <v>S</v>
      </c>
      <c r="D168">
        <f t="shared" si="51"/>
        <v>0</v>
      </c>
      <c r="E168" t="e">
        <f ca="1">IF($C168=1,OFFSET(E168,-1,0)+MAX(1,COUNTIF('[1]QCI'!$A$13:$A$24,OFFSET('[1]ORÇAMENTO'!E169,-1,0))),OFFSET(E168,-1,0))</f>
        <v>#VALUE!</v>
      </c>
      <c r="F168">
        <f ca="1" t="shared" si="52"/>
        <v>1</v>
      </c>
      <c r="G168">
        <f ca="1" t="shared" si="53"/>
        <v>1</v>
      </c>
      <c r="H168">
        <f ca="1" t="shared" si="54"/>
        <v>0</v>
      </c>
      <c r="I168">
        <f ca="1" t="shared" si="55"/>
        <v>0</v>
      </c>
      <c r="J168">
        <f ca="1" t="shared" si="47"/>
        <v>0</v>
      </c>
      <c r="K168">
        <f ca="1">IF(OR($C168="S",$C168=0),0,MATCH(OFFSET($D168,0,$C168)+IF($C168&lt;&gt;1,1,COUNTIF('[1]QCI'!$A$13:$A$24,'[1]ORÇAMENTO'!E169)),OFFSET($D168,1,$C168,ROW($C$223)-ROW($C168)),0))</f>
        <v>0</v>
      </c>
      <c r="L168" s="53">
        <f t="shared" si="56"/>
      </c>
      <c r="M168" s="54" t="s">
        <v>7</v>
      </c>
      <c r="N168" s="55" t="str">
        <f t="shared" si="57"/>
        <v>Serviço</v>
      </c>
      <c r="O168" s="56" t="s">
        <v>392</v>
      </c>
      <c r="P168" s="57" t="s">
        <v>62</v>
      </c>
      <c r="Q168" s="58" t="s">
        <v>140</v>
      </c>
      <c r="R168" s="59" t="s">
        <v>133</v>
      </c>
      <c r="S168" s="60" t="s">
        <v>143</v>
      </c>
      <c r="T168" s="61">
        <f>AJ168</f>
        <v>18.38</v>
      </c>
      <c r="U168" s="62"/>
      <c r="V168" s="63" t="s">
        <v>10</v>
      </c>
      <c r="W168" s="61">
        <f t="shared" si="58"/>
        <v>0</v>
      </c>
      <c r="X168" s="64">
        <f t="shared" si="59"/>
        <v>0</v>
      </c>
      <c r="Y168" s="65" t="s">
        <v>63</v>
      </c>
      <c r="Z168">
        <f t="shared" si="60"/>
      </c>
      <c r="AA168" s="66">
        <f>IF($C168="S",IF($Z168="CP",$X168,IF($Z168="RA",(($X168)*'[1]QCI'!$AA$3),0)),SomaAgrup)</f>
        <v>0</v>
      </c>
      <c r="AB168" s="67">
        <f t="shared" si="61"/>
        <v>0</v>
      </c>
      <c r="AC168" s="68">
        <f t="shared" si="62"/>
      </c>
      <c r="AD168" s="8">
        <f ca="1">IF(C168&lt;=CRONO.NivelExibicao,MAX($AD$15:OFFSET(AD168,-1,0))+IF($C168&lt;&gt;1,1,MAX(1,COUNTIF('[1]QCI'!$A$13:$A$24,OFFSET($E168,-1,0)))),"")</f>
      </c>
      <c r="AE168" s="18" t="str">
        <f t="shared" si="63"/>
        <v>SINAPI  94221 </v>
      </c>
      <c r="AF168" s="69" t="e">
        <f ca="1" t="shared" si="64"/>
        <v>#VALUE!</v>
      </c>
      <c r="AG168" s="70">
        <v>23.96</v>
      </c>
      <c r="AH168" s="71">
        <f t="shared" si="65"/>
        <v>0.2282</v>
      </c>
      <c r="AJ168" s="72">
        <v>18.38</v>
      </c>
      <c r="AL168" s="73"/>
      <c r="AM168" s="74">
        <f t="shared" si="0"/>
        <v>0</v>
      </c>
      <c r="AN168" s="75">
        <f t="shared" si="66"/>
        <v>0</v>
      </c>
    </row>
    <row r="169" spans="1:40" ht="15">
      <c r="A169">
        <f t="shared" si="48"/>
        <v>3</v>
      </c>
      <c r="B169">
        <f ca="1">IF(OR(C169="s",C169=0),OFFSET(B169,-1,0),C169)</f>
        <v>3</v>
      </c>
      <c r="C169">
        <f ca="1">IF(OFFSET(C169,-1,0)="L",1,IF(OFFSET(C169,-1,0)=1,2,IF(OR(A169="s",A169=0),"S",IF(AND(OFFSET(C169,-1,0)=2,A169=4),3,IF(AND(OR(OFFSET(C169,-1,0)="s",OFFSET(C169,-1,0)=0),A169&lt;&gt;"s",A169&gt;OFFSET(B169,-1,0)),OFFSET(B169,-1,0),A169)))))</f>
        <v>3</v>
      </c>
      <c r="D169">
        <f>IF(OR(C169="S",C169=0),0,IF(ISERROR(K169),J169,SMALL(J169:K169,1)))</f>
        <v>3</v>
      </c>
      <c r="E169" t="e">
        <f ca="1">IF($C169=1,OFFSET(E169,-1,0)+MAX(1,COUNTIF('[1]QCI'!$A$13:$A$24,OFFSET('[1]ORÇAMENTO'!E170,-1,0))),OFFSET(E169,-1,0))</f>
        <v>#VALUE!</v>
      </c>
      <c r="F169">
        <f ca="1">IF($C169=1,0,IF($C169=2,OFFSET(F169,-1,0)+1,OFFSET(F169,-1,0)))</f>
        <v>1</v>
      </c>
      <c r="G169">
        <f ca="1">IF(AND($C169&lt;=2,$C169&lt;&gt;0),0,IF($C169=3,OFFSET(G169,-1,0)+1,OFFSET(G169,-1,0)))</f>
        <v>2</v>
      </c>
      <c r="H169">
        <f ca="1">IF(AND($C169&lt;=3,$C169&lt;&gt;0),0,IF($C169=4,OFFSET(H169,-1,0)+1,OFFSET(H169,-1,0)))</f>
        <v>0</v>
      </c>
      <c r="I169">
        <f ca="1">IF(AND($C169&lt;=4,$C169&lt;&gt;0),0,IF(AND($C169="S",$X169&gt;0),OFFSET(I169,-1,0)+1,OFFSET(I169,-1,0)))</f>
        <v>0</v>
      </c>
      <c r="J169">
        <f ca="1" t="shared" si="47"/>
        <v>3</v>
      </c>
      <c r="K169" t="e">
        <f ca="1">IF(OR($C169="S",$C169=0),0,MATCH(OFFSET($D169,0,$C169)+IF($C169&lt;&gt;1,1,COUNTIF('[1]QCI'!$A$13:$A$24,'[1]ORÇAMENTO'!E170)),OFFSET($D169,1,$C169,ROW($C$223)-ROW($C169)),0))</f>
        <v>#N/A</v>
      </c>
      <c r="L169" s="53" t="str">
        <f>IF(OR($X169&gt;0,$C169=1,$C169=2,$C169=3,$C169=4),"F","")</f>
        <v>F</v>
      </c>
      <c r="M169" s="54" t="s">
        <v>5</v>
      </c>
      <c r="N169" s="55" t="str">
        <f>CHOOSE(1+LOG(1+2*(C169=1)+4*(C169=2)+8*(C169=3)+16*(C169=4)+32*(C169="S"),2),"","Meta","Nível 2","Nível 3","Nível 4","Serviço")</f>
        <v>Nível 3</v>
      </c>
      <c r="O169" s="56" t="s">
        <v>393</v>
      </c>
      <c r="P169" s="57" t="s">
        <v>62</v>
      </c>
      <c r="Q169" s="58"/>
      <c r="R169" s="59" t="s">
        <v>72</v>
      </c>
      <c r="S169" s="60" t="str">
        <f t="shared" si="67"/>
        <v>-</v>
      </c>
      <c r="T169" s="61" t="e">
        <f ca="1">OFFSET('[1]CÁLCULO'!H$15,ROW($T169)-ROW(T$15),0)</f>
        <v>#VALUE!</v>
      </c>
      <c r="U169" s="62"/>
      <c r="V169" s="63" t="s">
        <v>10</v>
      </c>
      <c r="W169" s="61">
        <f t="shared" si="58"/>
        <v>0</v>
      </c>
      <c r="X169" s="64">
        <f>ROUND(SUM(X170:X171),2)</f>
        <v>0</v>
      </c>
      <c r="Y169" s="65" t="s">
        <v>63</v>
      </c>
      <c r="Z169">
        <f>IF(AND($C169="S",$X169&gt;0),IF(ISBLANK($Y169),"RA",LEFT($Y169,2)),"")</f>
      </c>
      <c r="AA169" s="66">
        <f>IF($C169="S",IF($Z169="CP",$X169,IF($Z169="RA",(($X169)*'[1]QCI'!$AA$3),0)),SomaAgrup)</f>
        <v>0</v>
      </c>
      <c r="AB169" s="67">
        <f t="shared" si="61"/>
        <v>0</v>
      </c>
      <c r="AC169" s="68">
        <f t="shared" si="62"/>
      </c>
      <c r="AD169" s="8" t="e">
        <f ca="1">IF(C169&lt;=CRONO.NivelExibicao,MAX($AD$15:OFFSET(AD169,-1,0))+IF($C169&lt;&gt;1,1,MAX(1,COUNTIF('[1]QCI'!$A$13:$A$24,OFFSET($E169,-1,0)))),"")</f>
        <v>#VALUE!</v>
      </c>
      <c r="AE169" s="18" t="b">
        <f t="shared" si="63"/>
        <v>0</v>
      </c>
      <c r="AF169" s="69" t="e">
        <f ca="1" t="shared" si="64"/>
        <v>#VALUE!</v>
      </c>
      <c r="AG169" s="70"/>
      <c r="AH169" s="71">
        <f t="shared" si="65"/>
        <v>0.2282</v>
      </c>
      <c r="AJ169" s="72"/>
      <c r="AL169" s="73"/>
      <c r="AM169" s="74">
        <f t="shared" si="0"/>
        <v>0</v>
      </c>
      <c r="AN169" s="75">
        <f t="shared" si="66"/>
        <v>0</v>
      </c>
    </row>
    <row r="170" spans="1:40" ht="30">
      <c r="A170" t="str">
        <f t="shared" si="48"/>
        <v>S</v>
      </c>
      <c r="B170">
        <f ca="1" t="shared" si="49"/>
        <v>3</v>
      </c>
      <c r="C170" t="str">
        <f ca="1" t="shared" si="50"/>
        <v>S</v>
      </c>
      <c r="D170">
        <f t="shared" si="51"/>
        <v>0</v>
      </c>
      <c r="E170" t="e">
        <f ca="1">IF($C170=1,OFFSET(E170,-1,0)+MAX(1,COUNTIF('[1]QCI'!$A$13:$A$24,OFFSET('[1]ORÇAMENTO'!E171,-1,0))),OFFSET(E170,-1,0))</f>
        <v>#VALUE!</v>
      </c>
      <c r="F170">
        <f ca="1" t="shared" si="52"/>
        <v>1</v>
      </c>
      <c r="G170">
        <f ca="1" t="shared" si="53"/>
        <v>2</v>
      </c>
      <c r="H170">
        <f ca="1" t="shared" si="54"/>
        <v>0</v>
      </c>
      <c r="I170">
        <f ca="1" t="shared" si="55"/>
        <v>0</v>
      </c>
      <c r="J170">
        <f ca="1" t="shared" si="47"/>
        <v>0</v>
      </c>
      <c r="K170">
        <f ca="1">IF(OR($C170="S",$C170=0),0,MATCH(OFFSET($D170,0,$C170)+IF($C170&lt;&gt;1,1,COUNTIF('[1]QCI'!$A$13:$A$24,'[1]ORÇAMENTO'!E171)),OFFSET($D170,1,$C170,ROW($C$223)-ROW($C170)),0))</f>
        <v>0</v>
      </c>
      <c r="L170" s="53">
        <f t="shared" si="56"/>
      </c>
      <c r="M170" s="54" t="s">
        <v>7</v>
      </c>
      <c r="N170" s="55" t="str">
        <f t="shared" si="57"/>
        <v>Serviço</v>
      </c>
      <c r="O170" s="56" t="s">
        <v>394</v>
      </c>
      <c r="P170" s="57" t="s">
        <v>62</v>
      </c>
      <c r="Q170" s="58" t="s">
        <v>134</v>
      </c>
      <c r="R170" s="59" t="s">
        <v>127</v>
      </c>
      <c r="S170" s="60" t="s">
        <v>141</v>
      </c>
      <c r="T170" s="61">
        <f>AJ170</f>
        <v>70.6</v>
      </c>
      <c r="U170" s="62"/>
      <c r="V170" s="63" t="s">
        <v>10</v>
      </c>
      <c r="W170" s="61">
        <f t="shared" si="58"/>
        <v>0</v>
      </c>
      <c r="X170" s="64">
        <f t="shared" si="59"/>
        <v>0</v>
      </c>
      <c r="Y170" s="65" t="s">
        <v>63</v>
      </c>
      <c r="Z170">
        <f t="shared" si="60"/>
      </c>
      <c r="AA170" s="66">
        <f>IF($C170="S",IF($Z170="CP",$X170,IF($Z170="RA",(($X170)*'[1]QCI'!$AA$3),0)),SomaAgrup)</f>
        <v>0</v>
      </c>
      <c r="AB170" s="67">
        <f t="shared" si="61"/>
        <v>0</v>
      </c>
      <c r="AC170" s="68">
        <f t="shared" si="62"/>
      </c>
      <c r="AD170" s="8">
        <f ca="1">IF(C170&lt;=CRONO.NivelExibicao,MAX($AD$15:OFFSET(AD170,-1,0))+IF($C170&lt;&gt;1,1,MAX(1,COUNTIF('[1]QCI'!$A$13:$A$24,OFFSET($E170,-1,0)))),"")</f>
      </c>
      <c r="AE170" s="18" t="str">
        <f t="shared" si="63"/>
        <v>SINAPI  97647 </v>
      </c>
      <c r="AF170" s="69" t="e">
        <f ca="1" t="shared" si="64"/>
        <v>#VALUE!</v>
      </c>
      <c r="AG170" s="70">
        <v>2.81</v>
      </c>
      <c r="AH170" s="71">
        <f t="shared" si="65"/>
        <v>0.2282</v>
      </c>
      <c r="AJ170" s="72">
        <v>70.6</v>
      </c>
      <c r="AL170" s="73"/>
      <c r="AM170" s="74">
        <f t="shared" si="0"/>
        <v>0</v>
      </c>
      <c r="AN170" s="75">
        <f t="shared" si="66"/>
        <v>0</v>
      </c>
    </row>
    <row r="171" spans="1:40" ht="30">
      <c r="A171" t="str">
        <f t="shared" si="48"/>
        <v>S</v>
      </c>
      <c r="B171">
        <f ca="1" t="shared" si="49"/>
        <v>3</v>
      </c>
      <c r="C171" t="str">
        <f ca="1" t="shared" si="50"/>
        <v>S</v>
      </c>
      <c r="D171">
        <f t="shared" si="51"/>
        <v>0</v>
      </c>
      <c r="E171" t="e">
        <f ca="1">IF($C171=1,OFFSET(E171,-1,0)+MAX(1,COUNTIF('[1]QCI'!$A$13:$A$24,OFFSET('[1]ORÇAMENTO'!E172,-1,0))),OFFSET(E171,-1,0))</f>
        <v>#VALUE!</v>
      </c>
      <c r="F171">
        <f ca="1" t="shared" si="52"/>
        <v>1</v>
      </c>
      <c r="G171">
        <f ca="1" t="shared" si="53"/>
        <v>2</v>
      </c>
      <c r="H171">
        <f ca="1" t="shared" si="54"/>
        <v>0</v>
      </c>
      <c r="I171">
        <f ca="1" t="shared" si="55"/>
        <v>0</v>
      </c>
      <c r="J171">
        <f ca="1" t="shared" si="47"/>
        <v>0</v>
      </c>
      <c r="K171">
        <f ca="1">IF(OR($C171="S",$C171=0),0,MATCH(OFFSET($D171,0,$C171)+IF($C171&lt;&gt;1,1,COUNTIF('[1]QCI'!$A$13:$A$24,'[1]ORÇAMENTO'!E172)),OFFSET($D171,1,$C171,ROW($C$223)-ROW($C171)),0))</f>
        <v>0</v>
      </c>
      <c r="L171" s="53">
        <f t="shared" si="56"/>
      </c>
      <c r="M171" s="54" t="s">
        <v>7</v>
      </c>
      <c r="N171" s="55" t="str">
        <f t="shared" si="57"/>
        <v>Serviço</v>
      </c>
      <c r="O171" s="56" t="s">
        <v>395</v>
      </c>
      <c r="P171" s="57" t="s">
        <v>62</v>
      </c>
      <c r="Q171" s="58" t="s">
        <v>139</v>
      </c>
      <c r="R171" s="59" t="s">
        <v>132</v>
      </c>
      <c r="S171" s="60" t="s">
        <v>141</v>
      </c>
      <c r="T171" s="61">
        <f>AJ171</f>
        <v>70.6</v>
      </c>
      <c r="U171" s="62"/>
      <c r="V171" s="63" t="s">
        <v>10</v>
      </c>
      <c r="W171" s="61">
        <f t="shared" si="58"/>
        <v>0</v>
      </c>
      <c r="X171" s="64">
        <f t="shared" si="59"/>
        <v>0</v>
      </c>
      <c r="Y171" s="65" t="s">
        <v>63</v>
      </c>
      <c r="Z171">
        <f t="shared" si="60"/>
      </c>
      <c r="AA171" s="66">
        <f>IF($C171="S",IF($Z171="CP",$X171,IF($Z171="RA",(($X171)*'[1]QCI'!$AA$3),0)),SomaAgrup)</f>
        <v>0</v>
      </c>
      <c r="AB171" s="67">
        <f t="shared" si="61"/>
        <v>0</v>
      </c>
      <c r="AC171" s="68">
        <f t="shared" si="62"/>
      </c>
      <c r="AD171" s="8">
        <f ca="1">IF(C171&lt;=CRONO.NivelExibicao,MAX($AD$15:OFFSET(AD171,-1,0))+IF($C171&lt;&gt;1,1,MAX(1,COUNTIF('[1]QCI'!$A$13:$A$24,OFFSET($E171,-1,0)))),"")</f>
      </c>
      <c r="AE171" s="18" t="str">
        <f t="shared" si="63"/>
        <v>SINAPI  94195 </v>
      </c>
      <c r="AF171" s="69" t="e">
        <f ca="1" t="shared" si="64"/>
        <v>#VALUE!</v>
      </c>
      <c r="AG171" s="70">
        <v>34.47</v>
      </c>
      <c r="AH171" s="71">
        <f t="shared" si="65"/>
        <v>0.2282</v>
      </c>
      <c r="AJ171" s="72">
        <v>70.6</v>
      </c>
      <c r="AL171" s="73"/>
      <c r="AM171" s="74">
        <f t="shared" si="0"/>
        <v>0</v>
      </c>
      <c r="AN171" s="75">
        <f t="shared" si="66"/>
        <v>0</v>
      </c>
    </row>
    <row r="172" spans="1:40" ht="15">
      <c r="A172">
        <f t="shared" si="48"/>
        <v>1</v>
      </c>
      <c r="B172">
        <f ca="1" t="shared" si="49"/>
        <v>1</v>
      </c>
      <c r="C172">
        <f ca="1" t="shared" si="50"/>
        <v>1</v>
      </c>
      <c r="D172">
        <f t="shared" si="51"/>
        <v>51</v>
      </c>
      <c r="E172" t="e">
        <f ca="1">IF($C172=1,OFFSET(E172,-1,0)+MAX(1,COUNTIF('[1]QCI'!$A$13:$A$24,OFFSET('[1]ORÇAMENTO'!E173,-1,0))),OFFSET(E172,-1,0))</f>
        <v>#VALUE!</v>
      </c>
      <c r="F172">
        <f ca="1" t="shared" si="52"/>
        <v>0</v>
      </c>
      <c r="G172">
        <f ca="1" t="shared" si="53"/>
        <v>0</v>
      </c>
      <c r="H172">
        <f ca="1" t="shared" si="54"/>
        <v>0</v>
      </c>
      <c r="I172">
        <f ca="1" t="shared" si="55"/>
        <v>0</v>
      </c>
      <c r="J172">
        <f ca="1" t="shared" si="47"/>
        <v>51</v>
      </c>
      <c r="K172" t="e">
        <f ca="1">IF(OR($C172="S",$C172=0),0,MATCH(OFFSET($D172,0,$C172)+IF($C172&lt;&gt;1,1,COUNTIF('[1]QCI'!$A$13:$A$24,'[1]ORÇAMENTO'!E173)),OFFSET($D172,1,$C172,ROW($C$223)-ROW($C172)),0))</f>
        <v>#VALUE!</v>
      </c>
      <c r="L172" s="53" t="str">
        <f t="shared" si="56"/>
        <v>F</v>
      </c>
      <c r="M172" s="54" t="s">
        <v>3</v>
      </c>
      <c r="N172" s="55" t="str">
        <f t="shared" si="57"/>
        <v>Meta</v>
      </c>
      <c r="O172" s="56" t="s">
        <v>396</v>
      </c>
      <c r="P172" s="57" t="s">
        <v>62</v>
      </c>
      <c r="Q172" s="58"/>
      <c r="R172" s="59" t="s">
        <v>108</v>
      </c>
      <c r="S172" s="60" t="str">
        <f t="shared" si="67"/>
        <v>-</v>
      </c>
      <c r="T172" s="61" t="e">
        <f ca="1">OFFSET('[1]CÁLCULO'!H$15,ROW($T172)-ROW(T$15),0)</f>
        <v>#VALUE!</v>
      </c>
      <c r="U172" s="62"/>
      <c r="V172" s="63" t="s">
        <v>10</v>
      </c>
      <c r="W172" s="61">
        <f t="shared" si="58"/>
        <v>0</v>
      </c>
      <c r="X172" s="64">
        <f>ROUND(SUM(X173),2)</f>
        <v>0</v>
      </c>
      <c r="Y172" s="65" t="s">
        <v>63</v>
      </c>
      <c r="Z172">
        <f t="shared" si="60"/>
      </c>
      <c r="AA172" s="66">
        <f>IF($C172="S",IF($Z172="CP",$X172,IF($Z172="RA",(($X172)*'[1]QCI'!$AA$3),0)),SomaAgrup)</f>
        <v>0</v>
      </c>
      <c r="AB172" s="67">
        <f t="shared" si="61"/>
        <v>0</v>
      </c>
      <c r="AC172" s="68">
        <f t="shared" si="62"/>
      </c>
      <c r="AD172" s="8" t="e">
        <f ca="1">IF(C172&lt;=CRONO.NivelExibicao,MAX($AD$15:OFFSET(AD172,-1,0))+IF($C172&lt;&gt;1,1,MAX(1,COUNTIF('[1]QCI'!$A$13:$A$24,OFFSET($E172,-1,0)))),"")</f>
        <v>#VALUE!</v>
      </c>
      <c r="AE172" s="18" t="b">
        <f t="shared" si="63"/>
        <v>0</v>
      </c>
      <c r="AF172" s="69" t="e">
        <f ca="1" t="shared" si="64"/>
        <v>#VALUE!</v>
      </c>
      <c r="AG172" s="70"/>
      <c r="AH172" s="71">
        <f t="shared" si="65"/>
        <v>0.2282</v>
      </c>
      <c r="AJ172" s="72"/>
      <c r="AL172" s="73"/>
      <c r="AM172" s="74">
        <f t="shared" si="0"/>
        <v>0</v>
      </c>
      <c r="AN172" s="75">
        <f t="shared" si="66"/>
        <v>0</v>
      </c>
    </row>
    <row r="173" spans="1:40" ht="15">
      <c r="A173" t="str">
        <f t="shared" si="48"/>
        <v>S</v>
      </c>
      <c r="B173">
        <f ca="1" t="shared" si="49"/>
        <v>2</v>
      </c>
      <c r="C173">
        <f ca="1" t="shared" si="50"/>
        <v>2</v>
      </c>
      <c r="D173">
        <f t="shared" si="51"/>
        <v>4</v>
      </c>
      <c r="E173" t="e">
        <f ca="1">IF($C173=1,OFFSET(E173,-1,0)+MAX(1,COUNTIF('[1]QCI'!$A$13:$A$24,OFFSET('[1]ORÇAMENTO'!E174,-1,0))),OFFSET(E173,-1,0))</f>
        <v>#VALUE!</v>
      </c>
      <c r="F173">
        <f ca="1" t="shared" si="52"/>
        <v>1</v>
      </c>
      <c r="G173">
        <f ca="1" t="shared" si="53"/>
        <v>0</v>
      </c>
      <c r="H173">
        <f ca="1" t="shared" si="54"/>
        <v>0</v>
      </c>
      <c r="I173">
        <f ca="1" t="shared" si="55"/>
        <v>0</v>
      </c>
      <c r="J173">
        <f ca="1" t="shared" si="47"/>
        <v>4</v>
      </c>
      <c r="K173">
        <f ca="1">IF(OR($C173="S",$C173=0),0,MATCH(OFFSET($D173,0,$C173)+IF($C173&lt;&gt;1,1,COUNTIF('[1]QCI'!$A$13:$A$24,'[1]ORÇAMENTO'!E174)),OFFSET($D173,1,$C173,ROW($C$223)-ROW($C173)),0))</f>
        <v>27</v>
      </c>
      <c r="L173" s="53" t="str">
        <f t="shared" si="56"/>
        <v>F</v>
      </c>
      <c r="M173" s="54" t="s">
        <v>7</v>
      </c>
      <c r="N173" s="55" t="str">
        <f t="shared" si="57"/>
        <v>Nível 2</v>
      </c>
      <c r="O173" s="56" t="s">
        <v>397</v>
      </c>
      <c r="P173" s="57" t="s">
        <v>62</v>
      </c>
      <c r="Q173" s="58"/>
      <c r="R173" s="59" t="s">
        <v>67</v>
      </c>
      <c r="S173" s="60" t="str">
        <f t="shared" si="67"/>
        <v>-</v>
      </c>
      <c r="T173" s="61" t="e">
        <f ca="1">OFFSET('[1]CÁLCULO'!H$15,ROW($T173)-ROW(T$15),0)</f>
        <v>#VALUE!</v>
      </c>
      <c r="U173" s="62"/>
      <c r="V173" s="63" t="s">
        <v>10</v>
      </c>
      <c r="W173" s="61">
        <f t="shared" si="58"/>
        <v>0</v>
      </c>
      <c r="X173" s="64">
        <f>ROUND(SUM(X174),2)</f>
        <v>0</v>
      </c>
      <c r="Y173" s="65" t="s">
        <v>63</v>
      </c>
      <c r="Z173">
        <f t="shared" si="60"/>
      </c>
      <c r="AA173" s="66">
        <f>IF($C173="S",IF($Z173="CP",$X173,IF($Z173="RA",(($X173)*'[1]QCI'!$AA$3),0)),SomaAgrup)</f>
        <v>0</v>
      </c>
      <c r="AB173" s="67">
        <f t="shared" si="61"/>
        <v>0</v>
      </c>
      <c r="AC173" s="68">
        <f t="shared" si="62"/>
      </c>
      <c r="AD173" s="8" t="e">
        <f ca="1">IF(C173&lt;=CRONO.NivelExibicao,MAX($AD$15:OFFSET(AD173,-1,0))+IF($C173&lt;&gt;1,1,MAX(1,COUNTIF('[1]QCI'!$A$13:$A$24,OFFSET($E173,-1,0)))),"")</f>
        <v>#VALUE!</v>
      </c>
      <c r="AE173" s="18" t="b">
        <f t="shared" si="63"/>
        <v>0</v>
      </c>
      <c r="AF173" s="69" t="e">
        <f ca="1" t="shared" si="64"/>
        <v>#VALUE!</v>
      </c>
      <c r="AG173" s="70"/>
      <c r="AH173" s="71">
        <f t="shared" si="65"/>
        <v>0.2282</v>
      </c>
      <c r="AJ173" s="72"/>
      <c r="AL173" s="73"/>
      <c r="AM173" s="74">
        <f t="shared" si="0"/>
        <v>0</v>
      </c>
      <c r="AN173" s="75">
        <f t="shared" si="66"/>
        <v>0</v>
      </c>
    </row>
    <row r="174" spans="1:40" ht="15">
      <c r="A174">
        <f t="shared" si="48"/>
        <v>3</v>
      </c>
      <c r="B174">
        <f ca="1" t="shared" si="49"/>
        <v>3</v>
      </c>
      <c r="C174">
        <f ca="1" t="shared" si="50"/>
        <v>3</v>
      </c>
      <c r="D174">
        <f t="shared" si="51"/>
        <v>3</v>
      </c>
      <c r="E174" t="e">
        <f ca="1">IF($C174=1,OFFSET(E174,-1,0)+MAX(1,COUNTIF('[1]QCI'!$A$13:$A$24,OFFSET('[1]ORÇAMENTO'!E175,-1,0))),OFFSET(E174,-1,0))</f>
        <v>#VALUE!</v>
      </c>
      <c r="F174">
        <f ca="1" t="shared" si="52"/>
        <v>1</v>
      </c>
      <c r="G174">
        <f ca="1" t="shared" si="53"/>
        <v>1</v>
      </c>
      <c r="H174">
        <f ca="1" t="shared" si="54"/>
        <v>0</v>
      </c>
      <c r="I174">
        <f ca="1" t="shared" si="55"/>
        <v>0</v>
      </c>
      <c r="J174">
        <f ca="1" t="shared" si="47"/>
        <v>3</v>
      </c>
      <c r="K174" t="e">
        <f ca="1">IF(OR($C174="S",$C174=0),0,MATCH(OFFSET($D174,0,$C174)+IF($C174&lt;&gt;1,1,COUNTIF('[1]QCI'!$A$13:$A$24,'[1]ORÇAMENTO'!E175)),OFFSET($D174,1,$C174,ROW($C$223)-ROW($C174)),0))</f>
        <v>#N/A</v>
      </c>
      <c r="L174" s="53" t="str">
        <f t="shared" si="56"/>
        <v>F</v>
      </c>
      <c r="M174" s="54" t="s">
        <v>5</v>
      </c>
      <c r="N174" s="55" t="str">
        <f t="shared" si="57"/>
        <v>Nível 3</v>
      </c>
      <c r="O174" s="56" t="s">
        <v>398</v>
      </c>
      <c r="P174" s="57" t="s">
        <v>62</v>
      </c>
      <c r="Q174" s="58"/>
      <c r="R174" s="59" t="s">
        <v>72</v>
      </c>
      <c r="S174" s="60" t="str">
        <f t="shared" si="67"/>
        <v>-</v>
      </c>
      <c r="T174" s="61" t="e">
        <f ca="1">OFFSET('[1]CÁLCULO'!H$15,ROW($T174)-ROW(T$15),0)</f>
        <v>#VALUE!</v>
      </c>
      <c r="U174" s="62"/>
      <c r="V174" s="63" t="s">
        <v>10</v>
      </c>
      <c r="W174" s="61">
        <f t="shared" si="58"/>
        <v>0</v>
      </c>
      <c r="X174" s="64">
        <f>ROUND(SUM(X175:X176),2)</f>
        <v>0</v>
      </c>
      <c r="Y174" s="65" t="s">
        <v>63</v>
      </c>
      <c r="Z174">
        <f t="shared" si="60"/>
      </c>
      <c r="AA174" s="66">
        <f>IF($C174="S",IF($Z174="CP",$X174,IF($Z174="RA",(($X174)*'[1]QCI'!$AA$3),0)),SomaAgrup)</f>
        <v>0</v>
      </c>
      <c r="AB174" s="67">
        <f t="shared" si="61"/>
        <v>0</v>
      </c>
      <c r="AC174" s="68">
        <f t="shared" si="62"/>
      </c>
      <c r="AD174" s="8" t="e">
        <f ca="1">IF(C174&lt;=CRONO.NivelExibicao,MAX($AD$15:OFFSET(AD174,-1,0))+IF($C174&lt;&gt;1,1,MAX(1,COUNTIF('[1]QCI'!$A$13:$A$24,OFFSET($E174,-1,0)))),"")</f>
        <v>#VALUE!</v>
      </c>
      <c r="AE174" s="18" t="b">
        <f t="shared" si="63"/>
        <v>0</v>
      </c>
      <c r="AF174" s="69" t="e">
        <f ca="1" t="shared" si="64"/>
        <v>#VALUE!</v>
      </c>
      <c r="AG174" s="70"/>
      <c r="AH174" s="71">
        <f t="shared" si="65"/>
        <v>0.2282</v>
      </c>
      <c r="AJ174" s="72"/>
      <c r="AL174" s="73"/>
      <c r="AM174" s="74">
        <f t="shared" si="0"/>
        <v>0</v>
      </c>
      <c r="AN174" s="75">
        <f t="shared" si="66"/>
        <v>0</v>
      </c>
    </row>
    <row r="175" spans="1:40" ht="30">
      <c r="A175" t="str">
        <f t="shared" si="48"/>
        <v>S</v>
      </c>
      <c r="B175">
        <f ca="1" t="shared" si="49"/>
        <v>3</v>
      </c>
      <c r="C175" t="str">
        <f ca="1" t="shared" si="50"/>
        <v>S</v>
      </c>
      <c r="D175">
        <f t="shared" si="51"/>
        <v>0</v>
      </c>
      <c r="E175" t="e">
        <f ca="1">IF($C175=1,OFFSET(E175,-1,0)+MAX(1,COUNTIF('[1]QCI'!$A$13:$A$24,OFFSET('[1]ORÇAMENTO'!E176,-1,0))),OFFSET(E175,-1,0))</f>
        <v>#VALUE!</v>
      </c>
      <c r="F175">
        <f ca="1" t="shared" si="52"/>
        <v>1</v>
      </c>
      <c r="G175">
        <f ca="1" t="shared" si="53"/>
        <v>1</v>
      </c>
      <c r="H175">
        <f ca="1" t="shared" si="54"/>
        <v>0</v>
      </c>
      <c r="I175">
        <f ca="1" t="shared" si="55"/>
        <v>0</v>
      </c>
      <c r="J175">
        <f ca="1" t="shared" si="47"/>
        <v>0</v>
      </c>
      <c r="K175">
        <f ca="1">IF(OR($C175="S",$C175=0),0,MATCH(OFFSET($D175,0,$C175)+IF($C175&lt;&gt;1,1,COUNTIF('[1]QCI'!$A$13:$A$24,'[1]ORÇAMENTO'!E176)),OFFSET($D175,1,$C175,ROW($C$223)-ROW($C175)),0))</f>
        <v>0</v>
      </c>
      <c r="L175" s="53">
        <f t="shared" si="56"/>
      </c>
      <c r="M175" s="54" t="s">
        <v>7</v>
      </c>
      <c r="N175" s="55" t="str">
        <f t="shared" si="57"/>
        <v>Serviço</v>
      </c>
      <c r="O175" s="56" t="s">
        <v>399</v>
      </c>
      <c r="P175" s="57" t="s">
        <v>62</v>
      </c>
      <c r="Q175" s="58" t="s">
        <v>134</v>
      </c>
      <c r="R175" s="59" t="s">
        <v>127</v>
      </c>
      <c r="S175" s="60" t="s">
        <v>141</v>
      </c>
      <c r="T175" s="61">
        <f>AJ175</f>
        <v>70.04</v>
      </c>
      <c r="U175" s="62"/>
      <c r="V175" s="63" t="s">
        <v>10</v>
      </c>
      <c r="W175" s="61">
        <f t="shared" si="58"/>
        <v>0</v>
      </c>
      <c r="X175" s="64">
        <f t="shared" si="59"/>
        <v>0</v>
      </c>
      <c r="Y175" s="65" t="s">
        <v>63</v>
      </c>
      <c r="Z175">
        <f t="shared" si="60"/>
      </c>
      <c r="AA175" s="66">
        <f>IF($C175="S",IF($Z175="CP",$X175,IF($Z175="RA",(($X175)*'[1]QCI'!$AA$3),0)),SomaAgrup)</f>
        <v>0</v>
      </c>
      <c r="AB175" s="67">
        <f t="shared" si="61"/>
        <v>0</v>
      </c>
      <c r="AC175" s="68">
        <f t="shared" si="62"/>
      </c>
      <c r="AD175" s="8">
        <f ca="1">IF(C175&lt;=CRONO.NivelExibicao,MAX($AD$15:OFFSET(AD175,-1,0))+IF($C175&lt;&gt;1,1,MAX(1,COUNTIF('[1]QCI'!$A$13:$A$24,OFFSET($E175,-1,0)))),"")</f>
      </c>
      <c r="AE175" s="18" t="str">
        <f t="shared" si="63"/>
        <v>SINAPI  97647 </v>
      </c>
      <c r="AF175" s="69" t="e">
        <f ca="1" t="shared" si="64"/>
        <v>#VALUE!</v>
      </c>
      <c r="AG175" s="70">
        <v>2.81</v>
      </c>
      <c r="AH175" s="71">
        <f t="shared" si="65"/>
        <v>0.2282</v>
      </c>
      <c r="AJ175" s="72">
        <v>70.04</v>
      </c>
      <c r="AL175" s="73"/>
      <c r="AM175" s="74">
        <f t="shared" si="0"/>
        <v>0</v>
      </c>
      <c r="AN175" s="75">
        <f t="shared" si="66"/>
        <v>0</v>
      </c>
    </row>
    <row r="176" spans="1:40" ht="30">
      <c r="A176" t="str">
        <f t="shared" si="48"/>
        <v>S</v>
      </c>
      <c r="B176">
        <f ca="1" t="shared" si="49"/>
        <v>3</v>
      </c>
      <c r="C176" t="str">
        <f ca="1" t="shared" si="50"/>
        <v>S</v>
      </c>
      <c r="D176">
        <f t="shared" si="51"/>
        <v>0</v>
      </c>
      <c r="E176" t="e">
        <f ca="1">IF($C176=1,OFFSET(E176,-1,0)+MAX(1,COUNTIF('[1]QCI'!$A$13:$A$24,OFFSET('[1]ORÇAMENTO'!E177,-1,0))),OFFSET(E176,-1,0))</f>
        <v>#VALUE!</v>
      </c>
      <c r="F176">
        <f ca="1" t="shared" si="52"/>
        <v>1</v>
      </c>
      <c r="G176">
        <f ca="1" t="shared" si="53"/>
        <v>1</v>
      </c>
      <c r="H176">
        <f ca="1" t="shared" si="54"/>
        <v>0</v>
      </c>
      <c r="I176">
        <f ca="1" t="shared" si="55"/>
        <v>0</v>
      </c>
      <c r="J176">
        <f ca="1" t="shared" si="47"/>
        <v>0</v>
      </c>
      <c r="K176">
        <f ca="1">IF(OR($C176="S",$C176=0),0,MATCH(OFFSET($D176,0,$C176)+IF($C176&lt;&gt;1,1,COUNTIF('[1]QCI'!$A$13:$A$24,'[1]ORÇAMENTO'!E177)),OFFSET($D176,1,$C176,ROW($C$223)-ROW($C176)),0))</f>
        <v>0</v>
      </c>
      <c r="L176" s="53">
        <f t="shared" si="56"/>
      </c>
      <c r="M176" s="54" t="s">
        <v>7</v>
      </c>
      <c r="N176" s="55" t="str">
        <f t="shared" si="57"/>
        <v>Serviço</v>
      </c>
      <c r="O176" s="56" t="s">
        <v>400</v>
      </c>
      <c r="P176" s="57" t="s">
        <v>62</v>
      </c>
      <c r="Q176" s="58" t="s">
        <v>139</v>
      </c>
      <c r="R176" s="59" t="s">
        <v>132</v>
      </c>
      <c r="S176" s="60" t="s">
        <v>141</v>
      </c>
      <c r="T176" s="61">
        <f>AJ176</f>
        <v>70.04</v>
      </c>
      <c r="U176" s="62"/>
      <c r="V176" s="63" t="s">
        <v>10</v>
      </c>
      <c r="W176" s="61">
        <f t="shared" si="58"/>
        <v>0</v>
      </c>
      <c r="X176" s="64">
        <f t="shared" si="59"/>
        <v>0</v>
      </c>
      <c r="Y176" s="65" t="s">
        <v>63</v>
      </c>
      <c r="Z176">
        <f t="shared" si="60"/>
      </c>
      <c r="AA176" s="66">
        <f>IF($C176="S",IF($Z176="CP",$X176,IF($Z176="RA",(($X176)*'[1]QCI'!$AA$3),0)),SomaAgrup)</f>
        <v>0</v>
      </c>
      <c r="AB176" s="67">
        <f t="shared" si="61"/>
        <v>0</v>
      </c>
      <c r="AC176" s="68">
        <f t="shared" si="62"/>
      </c>
      <c r="AD176" s="8">
        <f ca="1">IF(C176&lt;=CRONO.NivelExibicao,MAX($AD$15:OFFSET(AD176,-1,0))+IF($C176&lt;&gt;1,1,MAX(1,COUNTIF('[1]QCI'!$A$13:$A$24,OFFSET($E176,-1,0)))),"")</f>
      </c>
      <c r="AE176" s="18" t="str">
        <f t="shared" si="63"/>
        <v>SINAPI  94195 </v>
      </c>
      <c r="AF176" s="69" t="e">
        <f ca="1" t="shared" si="64"/>
        <v>#VALUE!</v>
      </c>
      <c r="AG176" s="70">
        <v>34.47</v>
      </c>
      <c r="AH176" s="71">
        <f t="shared" si="65"/>
        <v>0.2282</v>
      </c>
      <c r="AJ176" s="72">
        <v>70.04</v>
      </c>
      <c r="AL176" s="73"/>
      <c r="AM176" s="74">
        <f t="shared" si="0"/>
        <v>0</v>
      </c>
      <c r="AN176" s="75">
        <f t="shared" si="66"/>
        <v>0</v>
      </c>
    </row>
    <row r="177" spans="1:40" ht="15">
      <c r="A177">
        <f t="shared" si="48"/>
        <v>1</v>
      </c>
      <c r="B177">
        <f ca="1" t="shared" si="49"/>
        <v>1</v>
      </c>
      <c r="C177">
        <f ca="1" t="shared" si="50"/>
        <v>1</v>
      </c>
      <c r="D177">
        <f t="shared" si="51"/>
        <v>46</v>
      </c>
      <c r="E177" t="e">
        <f ca="1">IF($C177=1,OFFSET(E177,-1,0)+MAX(1,COUNTIF('[1]QCI'!$A$13:$A$24,OFFSET('[1]ORÇAMENTO'!E178,-1,0))),OFFSET(E177,-1,0))</f>
        <v>#VALUE!</v>
      </c>
      <c r="F177">
        <f ca="1" t="shared" si="52"/>
        <v>0</v>
      </c>
      <c r="G177">
        <f ca="1" t="shared" si="53"/>
        <v>0</v>
      </c>
      <c r="H177">
        <f ca="1" t="shared" si="54"/>
        <v>0</v>
      </c>
      <c r="I177">
        <f ca="1" t="shared" si="55"/>
        <v>0</v>
      </c>
      <c r="J177">
        <f ca="1" t="shared" si="47"/>
        <v>46</v>
      </c>
      <c r="K177" t="e">
        <f ca="1">IF(OR($C177="S",$C177=0),0,MATCH(OFFSET($D177,0,$C177)+IF($C177&lt;&gt;1,1,COUNTIF('[1]QCI'!$A$13:$A$24,'[1]ORÇAMENTO'!E178)),OFFSET($D177,1,$C177,ROW($C$223)-ROW($C177)),0))</f>
        <v>#VALUE!</v>
      </c>
      <c r="L177" s="53" t="str">
        <f t="shared" si="56"/>
        <v>F</v>
      </c>
      <c r="M177" s="54" t="s">
        <v>3</v>
      </c>
      <c r="N177" s="55" t="str">
        <f t="shared" si="57"/>
        <v>Meta</v>
      </c>
      <c r="O177" s="56" t="s">
        <v>401</v>
      </c>
      <c r="P177" s="57" t="s">
        <v>62</v>
      </c>
      <c r="Q177" s="58"/>
      <c r="R177" s="59" t="s">
        <v>109</v>
      </c>
      <c r="S177" s="60" t="str">
        <f t="shared" si="67"/>
        <v>-</v>
      </c>
      <c r="T177" s="61" t="e">
        <f ca="1">OFFSET('[1]CÁLCULO'!H$15,ROW($T177)-ROW(T$15),0)</f>
        <v>#VALUE!</v>
      </c>
      <c r="U177" s="62"/>
      <c r="V177" s="63" t="s">
        <v>10</v>
      </c>
      <c r="W177" s="61">
        <f t="shared" si="58"/>
        <v>0</v>
      </c>
      <c r="X177" s="64">
        <f>ROUND(SUM(X178),2)</f>
        <v>0</v>
      </c>
      <c r="Y177" s="65" t="s">
        <v>63</v>
      </c>
      <c r="Z177">
        <f t="shared" si="60"/>
      </c>
      <c r="AA177" s="66">
        <f>IF($C177="S",IF($Z177="CP",$X177,IF($Z177="RA",(($X177)*'[1]QCI'!$AA$3),0)),SomaAgrup)</f>
        <v>0</v>
      </c>
      <c r="AB177" s="67">
        <f t="shared" si="61"/>
        <v>0</v>
      </c>
      <c r="AC177" s="68">
        <f t="shared" si="62"/>
      </c>
      <c r="AD177" s="8" t="e">
        <f ca="1">IF(C177&lt;=CRONO.NivelExibicao,MAX($AD$15:OFFSET(AD177,-1,0))+IF($C177&lt;&gt;1,1,MAX(1,COUNTIF('[1]QCI'!$A$13:$A$24,OFFSET($E177,-1,0)))),"")</f>
        <v>#VALUE!</v>
      </c>
      <c r="AE177" s="18" t="b">
        <f t="shared" si="63"/>
        <v>0</v>
      </c>
      <c r="AF177" s="69" t="e">
        <f ca="1" t="shared" si="64"/>
        <v>#VALUE!</v>
      </c>
      <c r="AG177" s="70"/>
      <c r="AH177" s="71">
        <f t="shared" si="65"/>
        <v>0.2282</v>
      </c>
      <c r="AJ177" s="72"/>
      <c r="AL177" s="73"/>
      <c r="AM177" s="74">
        <f t="shared" si="0"/>
        <v>0</v>
      </c>
      <c r="AN177" s="75">
        <f t="shared" si="66"/>
        <v>0</v>
      </c>
    </row>
    <row r="178" spans="1:40" ht="15">
      <c r="A178" t="str">
        <f t="shared" si="48"/>
        <v>S</v>
      </c>
      <c r="B178">
        <f ca="1" t="shared" si="49"/>
        <v>2</v>
      </c>
      <c r="C178">
        <f ca="1" t="shared" si="50"/>
        <v>2</v>
      </c>
      <c r="D178">
        <f t="shared" si="51"/>
        <v>4</v>
      </c>
      <c r="E178" t="e">
        <f ca="1">IF($C178=1,OFFSET(E178,-1,0)+MAX(1,COUNTIF('[1]QCI'!$A$13:$A$24,OFFSET('[1]ORÇAMENTO'!E179,-1,0))),OFFSET(E178,-1,0))</f>
        <v>#VALUE!</v>
      </c>
      <c r="F178">
        <f ca="1" t="shared" si="52"/>
        <v>1</v>
      </c>
      <c r="G178">
        <f ca="1" t="shared" si="53"/>
        <v>0</v>
      </c>
      <c r="H178">
        <f ca="1" t="shared" si="54"/>
        <v>0</v>
      </c>
      <c r="I178">
        <f ca="1" t="shared" si="55"/>
        <v>0</v>
      </c>
      <c r="J178">
        <f ca="1" t="shared" si="47"/>
        <v>4</v>
      </c>
      <c r="K178">
        <f ca="1">IF(OR($C178="S",$C178=0),0,MATCH(OFFSET($D178,0,$C178)+IF($C178&lt;&gt;1,1,COUNTIF('[1]QCI'!$A$13:$A$24,'[1]ORÇAMENTO'!E179)),OFFSET($D178,1,$C178,ROW($C$223)-ROW($C178)),0))</f>
        <v>22</v>
      </c>
      <c r="L178" s="53" t="str">
        <f t="shared" si="56"/>
        <v>F</v>
      </c>
      <c r="M178" s="54" t="s">
        <v>7</v>
      </c>
      <c r="N178" s="55" t="str">
        <f t="shared" si="57"/>
        <v>Nível 2</v>
      </c>
      <c r="O178" s="56" t="s">
        <v>402</v>
      </c>
      <c r="P178" s="57" t="s">
        <v>62</v>
      </c>
      <c r="Q178" s="58"/>
      <c r="R178" s="59" t="s">
        <v>67</v>
      </c>
      <c r="S178" s="60" t="str">
        <f t="shared" si="67"/>
        <v>-</v>
      </c>
      <c r="T178" s="61" t="e">
        <f ca="1">OFFSET('[1]CÁLCULO'!H$15,ROW($T178)-ROW(T$15),0)</f>
        <v>#VALUE!</v>
      </c>
      <c r="U178" s="62"/>
      <c r="V178" s="63" t="s">
        <v>10</v>
      </c>
      <c r="W178" s="61">
        <f t="shared" si="58"/>
        <v>0</v>
      </c>
      <c r="X178" s="64">
        <f>ROUND(SUM(X179),2)</f>
        <v>0</v>
      </c>
      <c r="Y178" s="65" t="s">
        <v>63</v>
      </c>
      <c r="Z178">
        <f t="shared" si="60"/>
      </c>
      <c r="AA178" s="66">
        <f>IF($C178="S",IF($Z178="CP",$X178,IF($Z178="RA",(($X178)*'[1]QCI'!$AA$3),0)),SomaAgrup)</f>
        <v>0</v>
      </c>
      <c r="AB178" s="67">
        <f t="shared" si="61"/>
        <v>0</v>
      </c>
      <c r="AC178" s="68">
        <f t="shared" si="62"/>
      </c>
      <c r="AD178" s="8" t="e">
        <f ca="1">IF(C178&lt;=CRONO.NivelExibicao,MAX($AD$15:OFFSET(AD178,-1,0))+IF($C178&lt;&gt;1,1,MAX(1,COUNTIF('[1]QCI'!$A$13:$A$24,OFFSET($E178,-1,0)))),"")</f>
        <v>#VALUE!</v>
      </c>
      <c r="AE178" s="18" t="b">
        <f t="shared" si="63"/>
        <v>0</v>
      </c>
      <c r="AF178" s="69" t="e">
        <f ca="1" t="shared" si="64"/>
        <v>#VALUE!</v>
      </c>
      <c r="AG178" s="70"/>
      <c r="AH178" s="71">
        <f t="shared" si="65"/>
        <v>0.2282</v>
      </c>
      <c r="AJ178" s="72"/>
      <c r="AL178" s="73"/>
      <c r="AM178" s="74">
        <f t="shared" si="0"/>
        <v>0</v>
      </c>
      <c r="AN178" s="75">
        <f t="shared" si="66"/>
        <v>0</v>
      </c>
    </row>
    <row r="179" spans="1:40" ht="15">
      <c r="A179">
        <f t="shared" si="48"/>
        <v>3</v>
      </c>
      <c r="B179">
        <f ca="1" t="shared" si="49"/>
        <v>3</v>
      </c>
      <c r="C179">
        <f ca="1" t="shared" si="50"/>
        <v>3</v>
      </c>
      <c r="D179">
        <f t="shared" si="51"/>
        <v>3</v>
      </c>
      <c r="E179" t="e">
        <f ca="1">IF($C179=1,OFFSET(E179,-1,0)+MAX(1,COUNTIF('[1]QCI'!$A$13:$A$24,OFFSET('[1]ORÇAMENTO'!E180,-1,0))),OFFSET(E179,-1,0))</f>
        <v>#VALUE!</v>
      </c>
      <c r="F179">
        <f ca="1" t="shared" si="52"/>
        <v>1</v>
      </c>
      <c r="G179">
        <f ca="1" t="shared" si="53"/>
        <v>1</v>
      </c>
      <c r="H179">
        <f ca="1" t="shared" si="54"/>
        <v>0</v>
      </c>
      <c r="I179">
        <f ca="1" t="shared" si="55"/>
        <v>0</v>
      </c>
      <c r="J179">
        <f ca="1" t="shared" si="47"/>
        <v>3</v>
      </c>
      <c r="K179" t="e">
        <f ca="1">IF(OR($C179="S",$C179=0),0,MATCH(OFFSET($D179,0,$C179)+IF($C179&lt;&gt;1,1,COUNTIF('[1]QCI'!$A$13:$A$24,'[1]ORÇAMENTO'!E180)),OFFSET($D179,1,$C179,ROW($C$223)-ROW($C179)),0))</f>
        <v>#N/A</v>
      </c>
      <c r="L179" s="53" t="str">
        <f t="shared" si="56"/>
        <v>F</v>
      </c>
      <c r="M179" s="54" t="s">
        <v>5</v>
      </c>
      <c r="N179" s="55" t="str">
        <f t="shared" si="57"/>
        <v>Nível 3</v>
      </c>
      <c r="O179" s="56" t="s">
        <v>403</v>
      </c>
      <c r="P179" s="57" t="s">
        <v>62</v>
      </c>
      <c r="Q179" s="58"/>
      <c r="R179" s="59" t="s">
        <v>72</v>
      </c>
      <c r="S179" s="60" t="str">
        <f t="shared" si="67"/>
        <v>-</v>
      </c>
      <c r="T179" s="61" t="e">
        <f ca="1">OFFSET('[1]CÁLCULO'!H$15,ROW($T179)-ROW(T$15),0)</f>
        <v>#VALUE!</v>
      </c>
      <c r="U179" s="62"/>
      <c r="V179" s="63" t="s">
        <v>10</v>
      </c>
      <c r="W179" s="61">
        <f t="shared" si="58"/>
        <v>0</v>
      </c>
      <c r="X179" s="64">
        <f>ROUND(SUM(X180:X181),2)</f>
        <v>0</v>
      </c>
      <c r="Y179" s="65" t="s">
        <v>63</v>
      </c>
      <c r="Z179">
        <f t="shared" si="60"/>
      </c>
      <c r="AA179" s="66">
        <f>IF($C179="S",IF($Z179="CP",$X179,IF($Z179="RA",(($X179)*'[1]QCI'!$AA$3),0)),SomaAgrup)</f>
        <v>0</v>
      </c>
      <c r="AB179" s="67">
        <f t="shared" si="61"/>
        <v>0</v>
      </c>
      <c r="AC179" s="68">
        <f t="shared" si="62"/>
      </c>
      <c r="AD179" s="8" t="e">
        <f ca="1">IF(C179&lt;=CRONO.NivelExibicao,MAX($AD$15:OFFSET(AD179,-1,0))+IF($C179&lt;&gt;1,1,MAX(1,COUNTIF('[1]QCI'!$A$13:$A$24,OFFSET($E179,-1,0)))),"")</f>
        <v>#VALUE!</v>
      </c>
      <c r="AE179" s="18" t="b">
        <f t="shared" si="63"/>
        <v>0</v>
      </c>
      <c r="AF179" s="69" t="e">
        <f ca="1" t="shared" si="64"/>
        <v>#VALUE!</v>
      </c>
      <c r="AG179" s="70"/>
      <c r="AH179" s="71">
        <f t="shared" si="65"/>
        <v>0.2282</v>
      </c>
      <c r="AJ179" s="72"/>
      <c r="AL179" s="73"/>
      <c r="AM179" s="74">
        <f t="shared" si="0"/>
        <v>0</v>
      </c>
      <c r="AN179" s="75">
        <f t="shared" si="66"/>
        <v>0</v>
      </c>
    </row>
    <row r="180" spans="1:40" ht="30">
      <c r="A180" t="str">
        <f t="shared" si="48"/>
        <v>S</v>
      </c>
      <c r="B180">
        <f ca="1" t="shared" si="49"/>
        <v>3</v>
      </c>
      <c r="C180" t="str">
        <f ca="1" t="shared" si="50"/>
        <v>S</v>
      </c>
      <c r="D180">
        <f t="shared" si="51"/>
        <v>0</v>
      </c>
      <c r="E180" t="e">
        <f ca="1">IF($C180=1,OFFSET(E180,-1,0)+MAX(1,COUNTIF('[1]QCI'!$A$13:$A$24,OFFSET('[1]ORÇAMENTO'!E181,-1,0))),OFFSET(E180,-1,0))</f>
        <v>#VALUE!</v>
      </c>
      <c r="F180">
        <f ca="1" t="shared" si="52"/>
        <v>1</v>
      </c>
      <c r="G180">
        <f ca="1" t="shared" si="53"/>
        <v>1</v>
      </c>
      <c r="H180">
        <f ca="1" t="shared" si="54"/>
        <v>0</v>
      </c>
      <c r="I180">
        <f ca="1" t="shared" si="55"/>
        <v>0</v>
      </c>
      <c r="J180">
        <f ca="1" t="shared" si="47"/>
        <v>0</v>
      </c>
      <c r="K180">
        <f ca="1">IF(OR($C180="S",$C180=0),0,MATCH(OFFSET($D180,0,$C180)+IF($C180&lt;&gt;1,1,COUNTIF('[1]QCI'!$A$13:$A$24,'[1]ORÇAMENTO'!E181)),OFFSET($D180,1,$C180,ROW($C$223)-ROW($C180)),0))</f>
        <v>0</v>
      </c>
      <c r="L180" s="53">
        <f t="shared" si="56"/>
      </c>
      <c r="M180" s="54" t="s">
        <v>7</v>
      </c>
      <c r="N180" s="55" t="str">
        <f t="shared" si="57"/>
        <v>Serviço</v>
      </c>
      <c r="O180" s="56" t="s">
        <v>404</v>
      </c>
      <c r="P180" s="57" t="s">
        <v>62</v>
      </c>
      <c r="Q180" s="58" t="s">
        <v>134</v>
      </c>
      <c r="R180" s="59" t="s">
        <v>127</v>
      </c>
      <c r="S180" s="60" t="s">
        <v>141</v>
      </c>
      <c r="T180" s="61">
        <f>AJ180</f>
        <v>31.17</v>
      </c>
      <c r="U180" s="62"/>
      <c r="V180" s="63" t="s">
        <v>10</v>
      </c>
      <c r="W180" s="61">
        <f t="shared" si="58"/>
        <v>0</v>
      </c>
      <c r="X180" s="64">
        <f t="shared" si="59"/>
        <v>0</v>
      </c>
      <c r="Y180" s="65" t="s">
        <v>63</v>
      </c>
      <c r="Z180">
        <f t="shared" si="60"/>
      </c>
      <c r="AA180" s="66">
        <f>IF($C180="S",IF($Z180="CP",$X180,IF($Z180="RA",(($X180)*'[1]QCI'!$AA$3),0)),SomaAgrup)</f>
        <v>0</v>
      </c>
      <c r="AB180" s="67">
        <f t="shared" si="61"/>
        <v>0</v>
      </c>
      <c r="AC180" s="68">
        <f t="shared" si="62"/>
      </c>
      <c r="AD180" s="8">
        <f ca="1">IF(C180&lt;=CRONO.NivelExibicao,MAX($AD$15:OFFSET(AD180,-1,0))+IF($C180&lt;&gt;1,1,MAX(1,COUNTIF('[1]QCI'!$A$13:$A$24,OFFSET($E180,-1,0)))),"")</f>
      </c>
      <c r="AE180" s="18" t="str">
        <f t="shared" si="63"/>
        <v>SINAPI  97647 </v>
      </c>
      <c r="AF180" s="69" t="e">
        <f ca="1" t="shared" si="64"/>
        <v>#VALUE!</v>
      </c>
      <c r="AG180" s="70">
        <v>2.81</v>
      </c>
      <c r="AH180" s="71">
        <f t="shared" si="65"/>
        <v>0.2282</v>
      </c>
      <c r="AJ180" s="72">
        <v>31.17</v>
      </c>
      <c r="AL180" s="73"/>
      <c r="AM180" s="74">
        <f t="shared" si="0"/>
        <v>0</v>
      </c>
      <c r="AN180" s="75">
        <f t="shared" si="66"/>
        <v>0</v>
      </c>
    </row>
    <row r="181" spans="1:40" ht="30">
      <c r="A181" t="str">
        <f t="shared" si="48"/>
        <v>S</v>
      </c>
      <c r="B181">
        <f ca="1" t="shared" si="49"/>
        <v>3</v>
      </c>
      <c r="C181" t="str">
        <f ca="1" t="shared" si="50"/>
        <v>S</v>
      </c>
      <c r="D181">
        <f t="shared" si="51"/>
        <v>0</v>
      </c>
      <c r="E181" t="e">
        <f ca="1">IF($C181=1,OFFSET(E181,-1,0)+MAX(1,COUNTIF('[1]QCI'!$A$13:$A$24,OFFSET('[1]ORÇAMENTO'!E182,-1,0))),OFFSET(E181,-1,0))</f>
        <v>#VALUE!</v>
      </c>
      <c r="F181">
        <f ca="1" t="shared" si="52"/>
        <v>1</v>
      </c>
      <c r="G181">
        <f ca="1" t="shared" si="53"/>
        <v>1</v>
      </c>
      <c r="H181">
        <f ca="1" t="shared" si="54"/>
        <v>0</v>
      </c>
      <c r="I181">
        <f ca="1" t="shared" si="55"/>
        <v>0</v>
      </c>
      <c r="J181">
        <f ca="1" t="shared" si="47"/>
        <v>0</v>
      </c>
      <c r="K181">
        <f ca="1">IF(OR($C181="S",$C181=0),0,MATCH(OFFSET($D181,0,$C181)+IF($C181&lt;&gt;1,1,COUNTIF('[1]QCI'!$A$13:$A$24,'[1]ORÇAMENTO'!E182)),OFFSET($D181,1,$C181,ROW($C$223)-ROW($C181)),0))</f>
        <v>0</v>
      </c>
      <c r="L181" s="53">
        <f t="shared" si="56"/>
      </c>
      <c r="M181" s="54" t="s">
        <v>7</v>
      </c>
      <c r="N181" s="55" t="str">
        <f t="shared" si="57"/>
        <v>Serviço</v>
      </c>
      <c r="O181" s="56" t="s">
        <v>405</v>
      </c>
      <c r="P181" s="57" t="s">
        <v>62</v>
      </c>
      <c r="Q181" s="58" t="s">
        <v>139</v>
      </c>
      <c r="R181" s="59" t="s">
        <v>132</v>
      </c>
      <c r="S181" s="60" t="s">
        <v>141</v>
      </c>
      <c r="T181" s="61">
        <f>AJ181</f>
        <v>31.17</v>
      </c>
      <c r="U181" s="62"/>
      <c r="V181" s="63" t="s">
        <v>10</v>
      </c>
      <c r="W181" s="61">
        <f t="shared" si="58"/>
        <v>0</v>
      </c>
      <c r="X181" s="64">
        <f t="shared" si="59"/>
        <v>0</v>
      </c>
      <c r="Y181" s="65" t="s">
        <v>63</v>
      </c>
      <c r="Z181">
        <f t="shared" si="60"/>
      </c>
      <c r="AA181" s="66">
        <f>IF($C181="S",IF($Z181="CP",$X181,IF($Z181="RA",(($X181)*'[1]QCI'!$AA$3),0)),SomaAgrup)</f>
        <v>0</v>
      </c>
      <c r="AB181" s="67">
        <f t="shared" si="61"/>
        <v>0</v>
      </c>
      <c r="AC181" s="68">
        <f t="shared" si="62"/>
      </c>
      <c r="AD181" s="8">
        <f ca="1">IF(C181&lt;=CRONO.NivelExibicao,MAX($AD$15:OFFSET(AD181,-1,0))+IF($C181&lt;&gt;1,1,MAX(1,COUNTIF('[1]QCI'!$A$13:$A$24,OFFSET($E181,-1,0)))),"")</f>
      </c>
      <c r="AE181" s="18" t="str">
        <f t="shared" si="63"/>
        <v>SINAPI  94195 </v>
      </c>
      <c r="AF181" s="69" t="e">
        <f ca="1" t="shared" si="64"/>
        <v>#VALUE!</v>
      </c>
      <c r="AG181" s="70">
        <v>34.47</v>
      </c>
      <c r="AH181" s="71">
        <f t="shared" si="65"/>
        <v>0.2282</v>
      </c>
      <c r="AJ181" s="72">
        <v>31.17</v>
      </c>
      <c r="AL181" s="73"/>
      <c r="AM181" s="74">
        <f t="shared" si="0"/>
        <v>0</v>
      </c>
      <c r="AN181" s="75">
        <f t="shared" si="66"/>
        <v>0</v>
      </c>
    </row>
    <row r="182" spans="1:40" ht="15">
      <c r="A182">
        <f t="shared" si="48"/>
        <v>1</v>
      </c>
      <c r="B182">
        <f ca="1">IF(OR(C182="s",C182=0),OFFSET(B182,-1,0),C182)</f>
        <v>1</v>
      </c>
      <c r="C182">
        <f ca="1">IF(OFFSET(C182,-1,0)="L",1,IF(OFFSET(C182,-1,0)=1,2,IF(OR(A182="s",A182=0),"S",IF(AND(OFFSET(C182,-1,0)=2,A182=4),3,IF(AND(OR(OFFSET(C182,-1,0)="s",OFFSET(C182,-1,0)=0),A182&lt;&gt;"s",A182&gt;OFFSET(B182,-1,0)),OFFSET(B182,-1,0),A182)))))</f>
        <v>1</v>
      </c>
      <c r="D182">
        <f>IF(OR(C182="S",C182=0),0,IF(ISERROR(K182),J182,SMALL(J182:K182,1)))</f>
        <v>41</v>
      </c>
      <c r="E182" t="e">
        <f ca="1">IF($C182=1,OFFSET(E182,-1,0)+MAX(1,COUNTIF('[1]QCI'!$A$13:$A$24,OFFSET('[1]ORÇAMENTO'!E183,-1,0))),OFFSET(E182,-1,0))</f>
        <v>#VALUE!</v>
      </c>
      <c r="F182">
        <f ca="1">IF($C182=1,0,IF($C182=2,OFFSET(F182,-1,0)+1,OFFSET(F182,-1,0)))</f>
        <v>0</v>
      </c>
      <c r="G182">
        <f ca="1">IF(AND($C182&lt;=2,$C182&lt;&gt;0),0,IF($C182=3,OFFSET(G182,-1,0)+1,OFFSET(G182,-1,0)))</f>
        <v>0</v>
      </c>
      <c r="H182">
        <f ca="1">IF(AND($C182&lt;=3,$C182&lt;&gt;0),0,IF($C182=4,OFFSET(H182,-1,0)+1,OFFSET(H182,-1,0)))</f>
        <v>0</v>
      </c>
      <c r="I182">
        <f ca="1">IF(AND($C182&lt;=4,$C182&lt;&gt;0),0,IF(AND($C182="S",$X182&gt;0),OFFSET(I182,-1,0)+1,OFFSET(I182,-1,0)))</f>
        <v>0</v>
      </c>
      <c r="J182">
        <f ca="1" t="shared" si="47"/>
        <v>41</v>
      </c>
      <c r="K182" t="e">
        <f ca="1">IF(OR($C182="S",$C182=0),0,MATCH(OFFSET($D182,0,$C182)+IF($C182&lt;&gt;1,1,COUNTIF('[1]QCI'!$A$13:$A$24,'[1]ORÇAMENTO'!E183)),OFFSET($D182,1,$C182,ROW($C$223)-ROW($C182)),0))</f>
        <v>#VALUE!</v>
      </c>
      <c r="L182" s="53" t="str">
        <f>IF(OR($X182&gt;0,$C182=1,$C182=2,$C182=3,$C182=4),"F","")</f>
        <v>F</v>
      </c>
      <c r="M182" s="54" t="s">
        <v>3</v>
      </c>
      <c r="N182" s="55" t="str">
        <f>CHOOSE(1+LOG(1+2*(C182=1)+4*(C182=2)+8*(C182=3)+16*(C182=4)+32*(C182="S"),2),"","Meta","Nível 2","Nível 3","Nível 4","Serviço")</f>
        <v>Meta</v>
      </c>
      <c r="O182" s="56" t="s">
        <v>406</v>
      </c>
      <c r="P182" s="57" t="s">
        <v>62</v>
      </c>
      <c r="Q182" s="58"/>
      <c r="R182" s="59" t="s">
        <v>110</v>
      </c>
      <c r="S182" s="60" t="str">
        <f t="shared" si="67"/>
        <v>-</v>
      </c>
      <c r="T182" s="61" t="e">
        <f ca="1">OFFSET('[1]CÁLCULO'!H$15,ROW($T182)-ROW(T$15),0)</f>
        <v>#VALUE!</v>
      </c>
      <c r="U182" s="62"/>
      <c r="V182" s="63" t="s">
        <v>10</v>
      </c>
      <c r="W182" s="61">
        <f t="shared" si="58"/>
        <v>0</v>
      </c>
      <c r="X182" s="64">
        <f>ROUND(SUM(X183),2)</f>
        <v>0</v>
      </c>
      <c r="Y182" s="65" t="s">
        <v>63</v>
      </c>
      <c r="Z182">
        <f>IF(AND($C182="S",$X182&gt;0),IF(ISBLANK($Y182),"RA",LEFT($Y182,2)),"")</f>
      </c>
      <c r="AA182" s="66">
        <f>IF($C182="S",IF($Z182="CP",$X182,IF($Z182="RA",(($X182)*'[1]QCI'!$AA$3),0)),SomaAgrup)</f>
        <v>0</v>
      </c>
      <c r="AB182" s="67">
        <f t="shared" si="61"/>
        <v>0</v>
      </c>
      <c r="AC182" s="68">
        <f t="shared" si="62"/>
      </c>
      <c r="AD182" s="8" t="e">
        <f ca="1">IF(C182&lt;=CRONO.NivelExibicao,MAX($AD$15:OFFSET(AD182,-1,0))+IF($C182&lt;&gt;1,1,MAX(1,COUNTIF('[1]QCI'!$A$13:$A$24,OFFSET($E182,-1,0)))),"")</f>
        <v>#VALUE!</v>
      </c>
      <c r="AE182" s="18" t="b">
        <f t="shared" si="63"/>
        <v>0</v>
      </c>
      <c r="AF182" s="69" t="e">
        <f ca="1" t="shared" si="64"/>
        <v>#VALUE!</v>
      </c>
      <c r="AG182" s="70"/>
      <c r="AH182" s="71">
        <f t="shared" si="65"/>
        <v>0.2282</v>
      </c>
      <c r="AJ182" s="72"/>
      <c r="AL182" s="73"/>
      <c r="AM182" s="74">
        <f t="shared" si="0"/>
        <v>0</v>
      </c>
      <c r="AN182" s="75">
        <f t="shared" si="66"/>
        <v>0</v>
      </c>
    </row>
    <row r="183" spans="1:40" ht="15">
      <c r="A183" t="str">
        <f t="shared" si="48"/>
        <v>S</v>
      </c>
      <c r="B183">
        <f aca="true" ca="1" t="shared" si="68" ref="B183:B195">IF(OR(C183="s",C183=0),OFFSET(B183,-1,0),C183)</f>
        <v>2</v>
      </c>
      <c r="C183">
        <f aca="true" ca="1" t="shared" si="69" ref="C183:C195">IF(OFFSET(C183,-1,0)="L",1,IF(OFFSET(C183,-1,0)=1,2,IF(OR(A183="s",A183=0),"S",IF(AND(OFFSET(C183,-1,0)=2,A183=4),3,IF(AND(OR(OFFSET(C183,-1,0)="s",OFFSET(C183,-1,0)=0),A183&lt;&gt;"s",A183&gt;OFFSET(B183,-1,0)),OFFSET(B183,-1,0),A183)))))</f>
        <v>2</v>
      </c>
      <c r="D183">
        <f aca="true" t="shared" si="70" ref="D183:D195">IF(OR(C183="S",C183=0),0,IF(ISERROR(K183),J183,SMALL(J183:K183,1)))</f>
        <v>4</v>
      </c>
      <c r="E183" t="e">
        <f ca="1">IF($C183=1,OFFSET(E183,-1,0)+MAX(1,COUNTIF('[1]QCI'!$A$13:$A$24,OFFSET('[1]ORÇAMENTO'!E184,-1,0))),OFFSET(E183,-1,0))</f>
        <v>#VALUE!</v>
      </c>
      <c r="F183">
        <f aca="true" ca="1" t="shared" si="71" ref="F183:F195">IF($C183=1,0,IF($C183=2,OFFSET(F183,-1,0)+1,OFFSET(F183,-1,0)))</f>
        <v>1</v>
      </c>
      <c r="G183">
        <f aca="true" ca="1" t="shared" si="72" ref="G183:G195">IF(AND($C183&lt;=2,$C183&lt;&gt;0),0,IF($C183=3,OFFSET(G183,-1,0)+1,OFFSET(G183,-1,0)))</f>
        <v>0</v>
      </c>
      <c r="H183">
        <f aca="true" ca="1" t="shared" si="73" ref="H183:H195">IF(AND($C183&lt;=3,$C183&lt;&gt;0),0,IF($C183=4,OFFSET(H183,-1,0)+1,OFFSET(H183,-1,0)))</f>
        <v>0</v>
      </c>
      <c r="I183">
        <f aca="true" ca="1" t="shared" si="74" ref="I183:I195">IF(AND($C183&lt;=4,$C183&lt;&gt;0),0,IF(AND($C183="S",$X183&gt;0),OFFSET(I183,-1,0)+1,OFFSET(I183,-1,0)))</f>
        <v>0</v>
      </c>
      <c r="J183">
        <f ca="1" t="shared" si="47"/>
        <v>4</v>
      </c>
      <c r="K183">
        <f ca="1">IF(OR($C183="S",$C183=0),0,MATCH(OFFSET($D183,0,$C183)+IF($C183&lt;&gt;1,1,COUNTIF('[1]QCI'!$A$13:$A$24,'[1]ORÇAMENTO'!E184)),OFFSET($D183,1,$C183,ROW($C$223)-ROW($C183)),0))</f>
        <v>17</v>
      </c>
      <c r="L183" s="53" t="str">
        <f aca="true" t="shared" si="75" ref="L183:L195">IF(OR($X183&gt;0,$C183=1,$C183=2,$C183=3,$C183=4),"F","")</f>
        <v>F</v>
      </c>
      <c r="M183" s="54" t="s">
        <v>7</v>
      </c>
      <c r="N183" s="55" t="str">
        <f aca="true" t="shared" si="76" ref="N183:N195">CHOOSE(1+LOG(1+2*(C183=1)+4*(C183=2)+8*(C183=3)+16*(C183=4)+32*(C183="S"),2),"","Meta","Nível 2","Nível 3","Nível 4","Serviço")</f>
        <v>Nível 2</v>
      </c>
      <c r="O183" s="56" t="s">
        <v>407</v>
      </c>
      <c r="P183" s="57" t="s">
        <v>62</v>
      </c>
      <c r="Q183" s="58"/>
      <c r="R183" s="59" t="s">
        <v>67</v>
      </c>
      <c r="S183" s="60" t="str">
        <f t="shared" si="67"/>
        <v>-</v>
      </c>
      <c r="T183" s="61" t="e">
        <f ca="1">OFFSET('[1]CÁLCULO'!H$15,ROW($T183)-ROW(T$15),0)</f>
        <v>#VALUE!</v>
      </c>
      <c r="U183" s="62"/>
      <c r="V183" s="63" t="s">
        <v>10</v>
      </c>
      <c r="W183" s="61">
        <f t="shared" si="58"/>
        <v>0</v>
      </c>
      <c r="X183" s="64">
        <f>ROUND(SUM(X184),2)</f>
        <v>0</v>
      </c>
      <c r="Y183" s="65" t="s">
        <v>63</v>
      </c>
      <c r="Z183">
        <f aca="true" t="shared" si="77" ref="Z183:Z195">IF(AND($C183="S",$X183&gt;0),IF(ISBLANK($Y183),"RA",LEFT($Y183,2)),"")</f>
      </c>
      <c r="AA183" s="66">
        <f>IF($C183="S",IF($Z183="CP",$X183,IF($Z183="RA",(($X183)*'[1]QCI'!$AA$3),0)),SomaAgrup)</f>
        <v>0</v>
      </c>
      <c r="AB183" s="67">
        <f t="shared" si="61"/>
        <v>0</v>
      </c>
      <c r="AC183" s="68">
        <f t="shared" si="62"/>
      </c>
      <c r="AD183" s="8" t="e">
        <f ca="1">IF(C183&lt;=CRONO.NivelExibicao,MAX($AD$15:OFFSET(AD183,-1,0))+IF($C183&lt;&gt;1,1,MAX(1,COUNTIF('[1]QCI'!$A$13:$A$24,OFFSET($E183,-1,0)))),"")</f>
        <v>#VALUE!</v>
      </c>
      <c r="AE183" s="18" t="b">
        <f t="shared" si="63"/>
        <v>0</v>
      </c>
      <c r="AF183" s="69" t="e">
        <f ca="1" t="shared" si="64"/>
        <v>#VALUE!</v>
      </c>
      <c r="AG183" s="70"/>
      <c r="AH183" s="71">
        <f t="shared" si="65"/>
        <v>0.2282</v>
      </c>
      <c r="AJ183" s="72"/>
      <c r="AL183" s="73"/>
      <c r="AM183" s="74">
        <f t="shared" si="0"/>
        <v>0</v>
      </c>
      <c r="AN183" s="75">
        <f t="shared" si="66"/>
        <v>0</v>
      </c>
    </row>
    <row r="184" spans="1:40" ht="15">
      <c r="A184">
        <f t="shared" si="48"/>
        <v>3</v>
      </c>
      <c r="B184">
        <f ca="1" t="shared" si="68"/>
        <v>3</v>
      </c>
      <c r="C184">
        <f ca="1" t="shared" si="69"/>
        <v>3</v>
      </c>
      <c r="D184">
        <f t="shared" si="70"/>
        <v>3</v>
      </c>
      <c r="E184" t="e">
        <f ca="1">IF($C184=1,OFFSET(E184,-1,0)+MAX(1,COUNTIF('[1]QCI'!$A$13:$A$24,OFFSET('[1]ORÇAMENTO'!E185,-1,0))),OFFSET(E184,-1,0))</f>
        <v>#VALUE!</v>
      </c>
      <c r="F184">
        <f ca="1" t="shared" si="71"/>
        <v>1</v>
      </c>
      <c r="G184">
        <f ca="1" t="shared" si="72"/>
        <v>1</v>
      </c>
      <c r="H184">
        <f ca="1" t="shared" si="73"/>
        <v>0</v>
      </c>
      <c r="I184">
        <f ca="1" t="shared" si="74"/>
        <v>0</v>
      </c>
      <c r="J184">
        <f ca="1" t="shared" si="47"/>
        <v>3</v>
      </c>
      <c r="K184" t="e">
        <f ca="1">IF(OR($C184="S",$C184=0),0,MATCH(OFFSET($D184,0,$C184)+IF($C184&lt;&gt;1,1,COUNTIF('[1]QCI'!$A$13:$A$24,'[1]ORÇAMENTO'!E185)),OFFSET($D184,1,$C184,ROW($C$223)-ROW($C184)),0))</f>
        <v>#N/A</v>
      </c>
      <c r="L184" s="53" t="str">
        <f t="shared" si="75"/>
        <v>F</v>
      </c>
      <c r="M184" s="54" t="s">
        <v>5</v>
      </c>
      <c r="N184" s="55" t="str">
        <f t="shared" si="76"/>
        <v>Nível 3</v>
      </c>
      <c r="O184" s="56" t="s">
        <v>408</v>
      </c>
      <c r="P184" s="57" t="s">
        <v>62</v>
      </c>
      <c r="Q184" s="58"/>
      <c r="R184" s="59" t="s">
        <v>72</v>
      </c>
      <c r="S184" s="60" t="str">
        <f t="shared" si="67"/>
        <v>-</v>
      </c>
      <c r="T184" s="61" t="e">
        <f ca="1">OFFSET('[1]CÁLCULO'!H$15,ROW($T184)-ROW(T$15),0)</f>
        <v>#VALUE!</v>
      </c>
      <c r="U184" s="62"/>
      <c r="V184" s="63" t="s">
        <v>10</v>
      </c>
      <c r="W184" s="61">
        <f t="shared" si="58"/>
        <v>0</v>
      </c>
      <c r="X184" s="64">
        <f>ROUND(SUM(X185:X186),2)</f>
        <v>0</v>
      </c>
      <c r="Y184" s="65" t="s">
        <v>63</v>
      </c>
      <c r="Z184">
        <f t="shared" si="77"/>
      </c>
      <c r="AA184" s="66">
        <f>IF($C184="S",IF($Z184="CP",$X184,IF($Z184="RA",(($X184)*'[1]QCI'!$AA$3),0)),SomaAgrup)</f>
        <v>0</v>
      </c>
      <c r="AB184" s="67">
        <f t="shared" si="61"/>
        <v>0</v>
      </c>
      <c r="AC184" s="68">
        <f t="shared" si="62"/>
      </c>
      <c r="AD184" s="8" t="e">
        <f ca="1">IF(C184&lt;=CRONO.NivelExibicao,MAX($AD$15:OFFSET(AD184,-1,0))+IF($C184&lt;&gt;1,1,MAX(1,COUNTIF('[1]QCI'!$A$13:$A$24,OFFSET($E184,-1,0)))),"")</f>
        <v>#VALUE!</v>
      </c>
      <c r="AE184" s="18" t="b">
        <f t="shared" si="63"/>
        <v>0</v>
      </c>
      <c r="AF184" s="69" t="e">
        <f ca="1" t="shared" si="64"/>
        <v>#VALUE!</v>
      </c>
      <c r="AG184" s="70"/>
      <c r="AH184" s="71">
        <f t="shared" si="65"/>
        <v>0.2282</v>
      </c>
      <c r="AJ184" s="72"/>
      <c r="AL184" s="73"/>
      <c r="AM184" s="74">
        <f t="shared" si="0"/>
        <v>0</v>
      </c>
      <c r="AN184" s="75">
        <f t="shared" si="66"/>
        <v>0</v>
      </c>
    </row>
    <row r="185" spans="1:40" ht="30">
      <c r="A185" t="str">
        <f t="shared" si="48"/>
        <v>S</v>
      </c>
      <c r="B185">
        <f ca="1" t="shared" si="68"/>
        <v>3</v>
      </c>
      <c r="C185" t="str">
        <f ca="1" t="shared" si="69"/>
        <v>S</v>
      </c>
      <c r="D185">
        <f t="shared" si="70"/>
        <v>0</v>
      </c>
      <c r="E185" t="e">
        <f ca="1">IF($C185=1,OFFSET(E185,-1,0)+MAX(1,COUNTIF('[1]QCI'!$A$13:$A$24,OFFSET('[1]ORÇAMENTO'!E186,-1,0))),OFFSET(E185,-1,0))</f>
        <v>#VALUE!</v>
      </c>
      <c r="F185">
        <f ca="1" t="shared" si="71"/>
        <v>1</v>
      </c>
      <c r="G185">
        <f ca="1" t="shared" si="72"/>
        <v>1</v>
      </c>
      <c r="H185">
        <f ca="1" t="shared" si="73"/>
        <v>0</v>
      </c>
      <c r="I185">
        <f ca="1" t="shared" si="74"/>
        <v>0</v>
      </c>
      <c r="J185">
        <f ca="1" t="shared" si="47"/>
        <v>0</v>
      </c>
      <c r="K185">
        <f ca="1">IF(OR($C185="S",$C185=0),0,MATCH(OFFSET($D185,0,$C185)+IF($C185&lt;&gt;1,1,COUNTIF('[1]QCI'!$A$13:$A$24,'[1]ORÇAMENTO'!E186)),OFFSET($D185,1,$C185,ROW($C$223)-ROW($C185)),0))</f>
        <v>0</v>
      </c>
      <c r="L185" s="53">
        <f t="shared" si="75"/>
      </c>
      <c r="M185" s="54" t="s">
        <v>7</v>
      </c>
      <c r="N185" s="55" t="str">
        <f t="shared" si="76"/>
        <v>Serviço</v>
      </c>
      <c r="O185" s="56" t="s">
        <v>409</v>
      </c>
      <c r="P185" s="57" t="s">
        <v>62</v>
      </c>
      <c r="Q185" s="58" t="s">
        <v>134</v>
      </c>
      <c r="R185" s="59" t="s">
        <v>127</v>
      </c>
      <c r="S185" s="60" t="s">
        <v>141</v>
      </c>
      <c r="T185" s="61">
        <f>AJ185</f>
        <v>71.4</v>
      </c>
      <c r="U185" s="62"/>
      <c r="V185" s="63" t="s">
        <v>10</v>
      </c>
      <c r="W185" s="61">
        <f t="shared" si="58"/>
        <v>0</v>
      </c>
      <c r="X185" s="64">
        <f t="shared" si="59"/>
        <v>0</v>
      </c>
      <c r="Y185" s="65" t="s">
        <v>63</v>
      </c>
      <c r="Z185">
        <f t="shared" si="77"/>
      </c>
      <c r="AA185" s="66">
        <f>IF($C185="S",IF($Z185="CP",$X185,IF($Z185="RA",(($X185)*'[1]QCI'!$AA$3),0)),SomaAgrup)</f>
        <v>0</v>
      </c>
      <c r="AB185" s="67">
        <f t="shared" si="61"/>
        <v>0</v>
      </c>
      <c r="AC185" s="68">
        <f t="shared" si="62"/>
      </c>
      <c r="AD185" s="8">
        <f ca="1">IF(C185&lt;=CRONO.NivelExibicao,MAX($AD$15:OFFSET(AD185,-1,0))+IF($C185&lt;&gt;1,1,MAX(1,COUNTIF('[1]QCI'!$A$13:$A$24,OFFSET($E185,-1,0)))),"")</f>
      </c>
      <c r="AE185" s="18" t="str">
        <f t="shared" si="63"/>
        <v>SINAPI  97647 </v>
      </c>
      <c r="AF185" s="69" t="e">
        <f ca="1" t="shared" si="64"/>
        <v>#VALUE!</v>
      </c>
      <c r="AG185" s="70">
        <v>2.81</v>
      </c>
      <c r="AH185" s="71">
        <f t="shared" si="65"/>
        <v>0.2282</v>
      </c>
      <c r="AJ185" s="72">
        <v>71.4</v>
      </c>
      <c r="AL185" s="73"/>
      <c r="AM185" s="74">
        <f t="shared" si="0"/>
        <v>0</v>
      </c>
      <c r="AN185" s="75">
        <f t="shared" si="66"/>
        <v>0</v>
      </c>
    </row>
    <row r="186" spans="1:40" ht="30">
      <c r="A186" t="str">
        <f t="shared" si="48"/>
        <v>S</v>
      </c>
      <c r="B186">
        <f ca="1" t="shared" si="68"/>
        <v>3</v>
      </c>
      <c r="C186" t="str">
        <f ca="1" t="shared" si="69"/>
        <v>S</v>
      </c>
      <c r="D186">
        <f t="shared" si="70"/>
        <v>0</v>
      </c>
      <c r="E186" t="e">
        <f ca="1">IF($C186=1,OFFSET(E186,-1,0)+MAX(1,COUNTIF('[1]QCI'!$A$13:$A$24,OFFSET('[1]ORÇAMENTO'!E187,-1,0))),OFFSET(E186,-1,0))</f>
        <v>#VALUE!</v>
      </c>
      <c r="F186">
        <f ca="1" t="shared" si="71"/>
        <v>1</v>
      </c>
      <c r="G186">
        <f ca="1" t="shared" si="72"/>
        <v>1</v>
      </c>
      <c r="H186">
        <f ca="1" t="shared" si="73"/>
        <v>0</v>
      </c>
      <c r="I186">
        <f ca="1" t="shared" si="74"/>
        <v>0</v>
      </c>
      <c r="J186">
        <f ca="1" t="shared" si="47"/>
        <v>0</v>
      </c>
      <c r="K186">
        <f ca="1">IF(OR($C186="S",$C186=0),0,MATCH(OFFSET($D186,0,$C186)+IF($C186&lt;&gt;1,1,COUNTIF('[1]QCI'!$A$13:$A$24,'[1]ORÇAMENTO'!E187)),OFFSET($D186,1,$C186,ROW($C$223)-ROW($C186)),0))</f>
        <v>0</v>
      </c>
      <c r="L186" s="53">
        <f t="shared" si="75"/>
      </c>
      <c r="M186" s="54" t="s">
        <v>7</v>
      </c>
      <c r="N186" s="55" t="str">
        <f t="shared" si="76"/>
        <v>Serviço</v>
      </c>
      <c r="O186" s="56" t="s">
        <v>410</v>
      </c>
      <c r="P186" s="57" t="s">
        <v>62</v>
      </c>
      <c r="Q186" s="58" t="s">
        <v>139</v>
      </c>
      <c r="R186" s="59" t="s">
        <v>132</v>
      </c>
      <c r="S186" s="60" t="s">
        <v>141</v>
      </c>
      <c r="T186" s="61">
        <f>AJ186</f>
        <v>71.4</v>
      </c>
      <c r="U186" s="62"/>
      <c r="V186" s="63" t="s">
        <v>10</v>
      </c>
      <c r="W186" s="61">
        <f t="shared" si="58"/>
        <v>0</v>
      </c>
      <c r="X186" s="64">
        <f t="shared" si="59"/>
        <v>0</v>
      </c>
      <c r="Y186" s="65" t="s">
        <v>63</v>
      </c>
      <c r="Z186">
        <f t="shared" si="77"/>
      </c>
      <c r="AA186" s="66">
        <f>IF($C186="S",IF($Z186="CP",$X186,IF($Z186="RA",(($X186)*'[1]QCI'!$AA$3),0)),SomaAgrup)</f>
        <v>0</v>
      </c>
      <c r="AB186" s="67">
        <f t="shared" si="61"/>
        <v>0</v>
      </c>
      <c r="AC186" s="68">
        <f t="shared" si="62"/>
      </c>
      <c r="AD186" s="8">
        <f ca="1">IF(C186&lt;=CRONO.NivelExibicao,MAX($AD$15:OFFSET(AD186,-1,0))+IF($C186&lt;&gt;1,1,MAX(1,COUNTIF('[1]QCI'!$A$13:$A$24,OFFSET($E186,-1,0)))),"")</f>
      </c>
      <c r="AE186" s="18" t="str">
        <f t="shared" si="63"/>
        <v>SINAPI  94195 </v>
      </c>
      <c r="AF186" s="69" t="e">
        <f ca="1" t="shared" si="64"/>
        <v>#VALUE!</v>
      </c>
      <c r="AG186" s="70">
        <v>34.47</v>
      </c>
      <c r="AH186" s="71">
        <f t="shared" si="65"/>
        <v>0.2282</v>
      </c>
      <c r="AJ186" s="72">
        <v>71.4</v>
      </c>
      <c r="AL186" s="73"/>
      <c r="AM186" s="74">
        <f t="shared" si="0"/>
        <v>0</v>
      </c>
      <c r="AN186" s="75">
        <f t="shared" si="66"/>
        <v>0</v>
      </c>
    </row>
    <row r="187" spans="1:40" ht="15">
      <c r="A187">
        <f t="shared" si="48"/>
        <v>1</v>
      </c>
      <c r="B187">
        <f ca="1" t="shared" si="68"/>
        <v>1</v>
      </c>
      <c r="C187">
        <f ca="1" t="shared" si="69"/>
        <v>1</v>
      </c>
      <c r="D187">
        <f t="shared" si="70"/>
        <v>36</v>
      </c>
      <c r="E187" t="e">
        <f ca="1">IF($C187=1,OFFSET(E187,-1,0)+MAX(1,COUNTIF('[1]QCI'!$A$13:$A$24,OFFSET('[1]ORÇAMENTO'!E188,-1,0))),OFFSET(E187,-1,0))</f>
        <v>#VALUE!</v>
      </c>
      <c r="F187">
        <f ca="1" t="shared" si="71"/>
        <v>0</v>
      </c>
      <c r="G187">
        <f ca="1" t="shared" si="72"/>
        <v>0</v>
      </c>
      <c r="H187">
        <f ca="1" t="shared" si="73"/>
        <v>0</v>
      </c>
      <c r="I187">
        <f ca="1" t="shared" si="74"/>
        <v>0</v>
      </c>
      <c r="J187">
        <f ca="1" t="shared" si="47"/>
        <v>36</v>
      </c>
      <c r="K187" t="e">
        <f ca="1">IF(OR($C187="S",$C187=0),0,MATCH(OFFSET($D187,0,$C187)+IF($C187&lt;&gt;1,1,COUNTIF('[1]QCI'!$A$13:$A$24,'[1]ORÇAMENTO'!E188)),OFFSET($D187,1,$C187,ROW($C$223)-ROW($C187)),0))</f>
        <v>#VALUE!</v>
      </c>
      <c r="L187" s="53" t="str">
        <f t="shared" si="75"/>
        <v>F</v>
      </c>
      <c r="M187" s="54" t="s">
        <v>3</v>
      </c>
      <c r="N187" s="55" t="str">
        <f t="shared" si="76"/>
        <v>Meta</v>
      </c>
      <c r="O187" s="56" t="s">
        <v>411</v>
      </c>
      <c r="P187" s="57" t="s">
        <v>62</v>
      </c>
      <c r="Q187" s="58"/>
      <c r="R187" s="59" t="s">
        <v>111</v>
      </c>
      <c r="S187" s="60" t="str">
        <f t="shared" si="67"/>
        <v>-</v>
      </c>
      <c r="T187" s="61" t="e">
        <f ca="1">OFFSET('[1]CÁLCULO'!H$15,ROW($T187)-ROW(T$15),0)</f>
        <v>#VALUE!</v>
      </c>
      <c r="U187" s="62"/>
      <c r="V187" s="63" t="s">
        <v>10</v>
      </c>
      <c r="W187" s="61">
        <f t="shared" si="58"/>
        <v>0</v>
      </c>
      <c r="X187" s="64">
        <f>ROUND(SUM(X188),2)</f>
        <v>0</v>
      </c>
      <c r="Y187" s="65" t="s">
        <v>63</v>
      </c>
      <c r="Z187">
        <f t="shared" si="77"/>
      </c>
      <c r="AA187" s="66">
        <f>IF($C187="S",IF($Z187="CP",$X187,IF($Z187="RA",(($X187)*'[1]QCI'!$AA$3),0)),SomaAgrup)</f>
        <v>0</v>
      </c>
      <c r="AB187" s="67">
        <f t="shared" si="61"/>
        <v>0</v>
      </c>
      <c r="AC187" s="68">
        <f t="shared" si="62"/>
      </c>
      <c r="AD187" s="8" t="e">
        <f ca="1">IF(C187&lt;=CRONO.NivelExibicao,MAX($AD$15:OFFSET(AD187,-1,0))+IF($C187&lt;&gt;1,1,MAX(1,COUNTIF('[1]QCI'!$A$13:$A$24,OFFSET($E187,-1,0)))),"")</f>
        <v>#VALUE!</v>
      </c>
      <c r="AE187" s="18" t="b">
        <f t="shared" si="63"/>
        <v>0</v>
      </c>
      <c r="AF187" s="69" t="e">
        <f ca="1" t="shared" si="64"/>
        <v>#VALUE!</v>
      </c>
      <c r="AG187" s="70"/>
      <c r="AH187" s="71">
        <f t="shared" si="65"/>
        <v>0.2282</v>
      </c>
      <c r="AJ187" s="72"/>
      <c r="AL187" s="73"/>
      <c r="AM187" s="74">
        <f t="shared" si="0"/>
        <v>0</v>
      </c>
      <c r="AN187" s="75">
        <f t="shared" si="66"/>
        <v>0</v>
      </c>
    </row>
    <row r="188" spans="1:40" ht="15">
      <c r="A188" t="str">
        <f t="shared" si="48"/>
        <v>S</v>
      </c>
      <c r="B188">
        <f ca="1" t="shared" si="68"/>
        <v>2</v>
      </c>
      <c r="C188">
        <f ca="1" t="shared" si="69"/>
        <v>2</v>
      </c>
      <c r="D188">
        <f t="shared" si="70"/>
        <v>4</v>
      </c>
      <c r="E188" t="e">
        <f ca="1">IF($C188=1,OFFSET(E188,-1,0)+MAX(1,COUNTIF('[1]QCI'!$A$13:$A$24,OFFSET('[1]ORÇAMENTO'!E189,-1,0))),OFFSET(E188,-1,0))</f>
        <v>#VALUE!</v>
      </c>
      <c r="F188">
        <f ca="1" t="shared" si="71"/>
        <v>1</v>
      </c>
      <c r="G188">
        <f ca="1" t="shared" si="72"/>
        <v>0</v>
      </c>
      <c r="H188">
        <f ca="1" t="shared" si="73"/>
        <v>0</v>
      </c>
      <c r="I188">
        <f ca="1" t="shared" si="74"/>
        <v>0</v>
      </c>
      <c r="J188">
        <f ca="1" t="shared" si="47"/>
        <v>4</v>
      </c>
      <c r="K188">
        <f ca="1">IF(OR($C188="S",$C188=0),0,MATCH(OFFSET($D188,0,$C188)+IF($C188&lt;&gt;1,1,COUNTIF('[1]QCI'!$A$13:$A$24,'[1]ORÇAMENTO'!E189)),OFFSET($D188,1,$C188,ROW($C$223)-ROW($C188)),0))</f>
        <v>12</v>
      </c>
      <c r="L188" s="53" t="str">
        <f t="shared" si="75"/>
        <v>F</v>
      </c>
      <c r="M188" s="54" t="s">
        <v>7</v>
      </c>
      <c r="N188" s="55" t="str">
        <f t="shared" si="76"/>
        <v>Nível 2</v>
      </c>
      <c r="O188" s="56" t="s">
        <v>412</v>
      </c>
      <c r="P188" s="57" t="s">
        <v>62</v>
      </c>
      <c r="Q188" s="58"/>
      <c r="R188" s="59" t="s">
        <v>67</v>
      </c>
      <c r="S188" s="60" t="str">
        <f t="shared" si="67"/>
        <v>-</v>
      </c>
      <c r="T188" s="61" t="e">
        <f ca="1">OFFSET('[1]CÁLCULO'!H$15,ROW($T188)-ROW(T$15),0)</f>
        <v>#VALUE!</v>
      </c>
      <c r="U188" s="62"/>
      <c r="V188" s="63" t="s">
        <v>10</v>
      </c>
      <c r="W188" s="61">
        <f t="shared" si="58"/>
        <v>0</v>
      </c>
      <c r="X188" s="64">
        <f>ROUND(SUM(X189),2)</f>
        <v>0</v>
      </c>
      <c r="Y188" s="65" t="s">
        <v>63</v>
      </c>
      <c r="Z188">
        <f t="shared" si="77"/>
      </c>
      <c r="AA188" s="66">
        <f>IF($C188="S",IF($Z188="CP",$X188,IF($Z188="RA",(($X188)*'[1]QCI'!$AA$3),0)),SomaAgrup)</f>
        <v>0</v>
      </c>
      <c r="AB188" s="67">
        <f t="shared" si="61"/>
        <v>0</v>
      </c>
      <c r="AC188" s="68">
        <f t="shared" si="62"/>
      </c>
      <c r="AD188" s="8" t="e">
        <f ca="1">IF(C188&lt;=CRONO.NivelExibicao,MAX($AD$15:OFFSET(AD188,-1,0))+IF($C188&lt;&gt;1,1,MAX(1,COUNTIF('[1]QCI'!$A$13:$A$24,OFFSET($E188,-1,0)))),"")</f>
        <v>#VALUE!</v>
      </c>
      <c r="AE188" s="18" t="b">
        <f t="shared" si="63"/>
        <v>0</v>
      </c>
      <c r="AF188" s="69" t="e">
        <f ca="1" t="shared" si="64"/>
        <v>#VALUE!</v>
      </c>
      <c r="AG188" s="70"/>
      <c r="AH188" s="71">
        <f t="shared" si="65"/>
        <v>0.2282</v>
      </c>
      <c r="AJ188" s="72"/>
      <c r="AL188" s="73"/>
      <c r="AM188" s="74">
        <f t="shared" si="0"/>
        <v>0</v>
      </c>
      <c r="AN188" s="75">
        <f t="shared" si="66"/>
        <v>0</v>
      </c>
    </row>
    <row r="189" spans="1:40" ht="15">
      <c r="A189">
        <f t="shared" si="48"/>
        <v>3</v>
      </c>
      <c r="B189">
        <f ca="1">IF(OR(C189="s",C189=0),OFFSET(B189,-1,0),C189)</f>
        <v>3</v>
      </c>
      <c r="C189">
        <f ca="1">IF(OFFSET(C189,-1,0)="L",1,IF(OFFSET(C189,-1,0)=1,2,IF(OR(A189="s",A189=0),"S",IF(AND(OFFSET(C189,-1,0)=2,A189=4),3,IF(AND(OR(OFFSET(C189,-1,0)="s",OFFSET(C189,-1,0)=0),A189&lt;&gt;"s",A189&gt;OFFSET(B189,-1,0)),OFFSET(B189,-1,0),A189)))))</f>
        <v>3</v>
      </c>
      <c r="D189">
        <f>IF(OR(C189="S",C189=0),0,IF(ISERROR(K189),J189,SMALL(J189:K189,1)))</f>
        <v>3</v>
      </c>
      <c r="E189" t="e">
        <f ca="1">IF($C189=1,OFFSET(E189,-1,0)+MAX(1,COUNTIF('[1]QCI'!$A$13:$A$24,OFFSET('[1]ORÇAMENTO'!E190,-1,0))),OFFSET(E189,-1,0))</f>
        <v>#VALUE!</v>
      </c>
      <c r="F189">
        <f ca="1">IF($C189=1,0,IF($C189=2,OFFSET(F189,-1,0)+1,OFFSET(F189,-1,0)))</f>
        <v>1</v>
      </c>
      <c r="G189">
        <f ca="1">IF(AND($C189&lt;=2,$C189&lt;&gt;0),0,IF($C189=3,OFFSET(G189,-1,0)+1,OFFSET(G189,-1,0)))</f>
        <v>1</v>
      </c>
      <c r="H189">
        <f ca="1">IF(AND($C189&lt;=3,$C189&lt;&gt;0),0,IF($C189=4,OFFSET(H189,-1,0)+1,OFFSET(H189,-1,0)))</f>
        <v>0</v>
      </c>
      <c r="I189">
        <f ca="1">IF(AND($C189&lt;=4,$C189&lt;&gt;0),0,IF(AND($C189="S",$X189&gt;0),OFFSET(I189,-1,0)+1,OFFSET(I189,-1,0)))</f>
        <v>0</v>
      </c>
      <c r="J189">
        <f ca="1" t="shared" si="47"/>
        <v>3</v>
      </c>
      <c r="K189" t="e">
        <f ca="1">IF(OR($C189="S",$C189=0),0,MATCH(OFFSET($D189,0,$C189)+IF($C189&lt;&gt;1,1,COUNTIF('[1]QCI'!$A$13:$A$24,'[1]ORÇAMENTO'!E190)),OFFSET($D189,1,$C189,ROW($C$223)-ROW($C189)),0))</f>
        <v>#N/A</v>
      </c>
      <c r="L189" s="53" t="str">
        <f>IF(OR($X189&gt;0,$C189=1,$C189=2,$C189=3,$C189=4),"F","")</f>
        <v>F</v>
      </c>
      <c r="M189" s="54" t="s">
        <v>5</v>
      </c>
      <c r="N189" s="55" t="str">
        <f>CHOOSE(1+LOG(1+2*(C189=1)+4*(C189=2)+8*(C189=3)+16*(C189=4)+32*(C189="S"),2),"","Meta","Nível 2","Nível 3","Nível 4","Serviço")</f>
        <v>Nível 3</v>
      </c>
      <c r="O189" s="56" t="s">
        <v>413</v>
      </c>
      <c r="P189" s="57" t="s">
        <v>62</v>
      </c>
      <c r="Q189" s="58"/>
      <c r="R189" s="59" t="s">
        <v>72</v>
      </c>
      <c r="S189" s="60" t="str">
        <f t="shared" si="67"/>
        <v>-</v>
      </c>
      <c r="T189" s="61" t="e">
        <f ca="1">OFFSET('[1]CÁLCULO'!H$15,ROW($T189)-ROW(T$15),0)</f>
        <v>#VALUE!</v>
      </c>
      <c r="U189" s="62"/>
      <c r="V189" s="63" t="s">
        <v>10</v>
      </c>
      <c r="W189" s="61">
        <f t="shared" si="58"/>
        <v>0</v>
      </c>
      <c r="X189" s="64">
        <f>ROUND(SUM(X190:X191),2)</f>
        <v>0</v>
      </c>
      <c r="Y189" s="65" t="s">
        <v>63</v>
      </c>
      <c r="Z189">
        <f>IF(AND($C189="S",$X189&gt;0),IF(ISBLANK($Y189),"RA",LEFT($Y189,2)),"")</f>
      </c>
      <c r="AA189" s="66">
        <f>IF($C189="S",IF($Z189="CP",$X189,IF($Z189="RA",(($X189)*'[1]QCI'!$AA$3),0)),SomaAgrup)</f>
        <v>0</v>
      </c>
      <c r="AB189" s="67">
        <f t="shared" si="61"/>
        <v>0</v>
      </c>
      <c r="AC189" s="68">
        <f t="shared" si="62"/>
      </c>
      <c r="AD189" s="8" t="e">
        <f ca="1">IF(C189&lt;=CRONO.NivelExibicao,MAX($AD$15:OFFSET(AD189,-1,0))+IF($C189&lt;&gt;1,1,MAX(1,COUNTIF('[1]QCI'!$A$13:$A$24,OFFSET($E189,-1,0)))),"")</f>
        <v>#VALUE!</v>
      </c>
      <c r="AE189" s="18" t="b">
        <f t="shared" si="63"/>
        <v>0</v>
      </c>
      <c r="AF189" s="69" t="e">
        <f ca="1" t="shared" si="64"/>
        <v>#VALUE!</v>
      </c>
      <c r="AG189" s="70"/>
      <c r="AH189" s="71">
        <f t="shared" si="65"/>
        <v>0.2282</v>
      </c>
      <c r="AJ189" s="72"/>
      <c r="AL189" s="73"/>
      <c r="AM189" s="74">
        <f t="shared" si="0"/>
        <v>0</v>
      </c>
      <c r="AN189" s="75">
        <f t="shared" si="66"/>
        <v>0</v>
      </c>
    </row>
    <row r="190" spans="1:40" ht="30">
      <c r="A190" t="str">
        <f t="shared" si="48"/>
        <v>S</v>
      </c>
      <c r="B190">
        <f ca="1" t="shared" si="68"/>
        <v>3</v>
      </c>
      <c r="C190" t="str">
        <f ca="1" t="shared" si="69"/>
        <v>S</v>
      </c>
      <c r="D190">
        <f t="shared" si="70"/>
        <v>0</v>
      </c>
      <c r="E190" t="e">
        <f ca="1">IF($C190=1,OFFSET(E190,-1,0)+MAX(1,COUNTIF('[1]QCI'!$A$13:$A$24,OFFSET('[1]ORÇAMENTO'!E191,-1,0))),OFFSET(E190,-1,0))</f>
        <v>#VALUE!</v>
      </c>
      <c r="F190">
        <f ca="1" t="shared" si="71"/>
        <v>1</v>
      </c>
      <c r="G190">
        <f ca="1" t="shared" si="72"/>
        <v>1</v>
      </c>
      <c r="H190">
        <f ca="1" t="shared" si="73"/>
        <v>0</v>
      </c>
      <c r="I190">
        <f ca="1" t="shared" si="74"/>
        <v>0</v>
      </c>
      <c r="J190">
        <f ca="1" t="shared" si="47"/>
        <v>0</v>
      </c>
      <c r="K190">
        <f ca="1">IF(OR($C190="S",$C190=0),0,MATCH(OFFSET($D190,0,$C190)+IF($C190&lt;&gt;1,1,COUNTIF('[1]QCI'!$A$13:$A$24,'[1]ORÇAMENTO'!E191)),OFFSET($D190,1,$C190,ROW($C$223)-ROW($C190)),0))</f>
        <v>0</v>
      </c>
      <c r="L190" s="53">
        <f t="shared" si="75"/>
      </c>
      <c r="M190" s="54" t="s">
        <v>7</v>
      </c>
      <c r="N190" s="55" t="str">
        <f t="shared" si="76"/>
        <v>Serviço</v>
      </c>
      <c r="O190" s="56" t="s">
        <v>414</v>
      </c>
      <c r="P190" s="57" t="s">
        <v>62</v>
      </c>
      <c r="Q190" s="58" t="s">
        <v>134</v>
      </c>
      <c r="R190" s="59" t="s">
        <v>127</v>
      </c>
      <c r="S190" s="60" t="s">
        <v>141</v>
      </c>
      <c r="T190" s="61">
        <f>AJ190</f>
        <v>16.23</v>
      </c>
      <c r="U190" s="62"/>
      <c r="V190" s="63" t="s">
        <v>10</v>
      </c>
      <c r="W190" s="61">
        <f t="shared" si="58"/>
        <v>0</v>
      </c>
      <c r="X190" s="64">
        <f t="shared" si="59"/>
        <v>0</v>
      </c>
      <c r="Y190" s="65" t="s">
        <v>63</v>
      </c>
      <c r="Z190">
        <f t="shared" si="77"/>
      </c>
      <c r="AA190" s="66">
        <f>IF($C190="S",IF($Z190="CP",$X190,IF($Z190="RA",(($X190)*'[1]QCI'!$AA$3),0)),SomaAgrup)</f>
        <v>0</v>
      </c>
      <c r="AB190" s="67">
        <f t="shared" si="61"/>
        <v>0</v>
      </c>
      <c r="AC190" s="68">
        <f t="shared" si="62"/>
      </c>
      <c r="AD190" s="8">
        <f ca="1">IF(C190&lt;=CRONO.NivelExibicao,MAX($AD$15:OFFSET(AD190,-1,0))+IF($C190&lt;&gt;1,1,MAX(1,COUNTIF('[1]QCI'!$A$13:$A$24,OFFSET($E190,-1,0)))),"")</f>
      </c>
      <c r="AE190" s="18" t="str">
        <f t="shared" si="63"/>
        <v>SINAPI  97647 </v>
      </c>
      <c r="AF190" s="69" t="e">
        <f ca="1" t="shared" si="64"/>
        <v>#VALUE!</v>
      </c>
      <c r="AG190" s="70">
        <v>2.81</v>
      </c>
      <c r="AH190" s="71">
        <f t="shared" si="65"/>
        <v>0.2282</v>
      </c>
      <c r="AJ190" s="72">
        <v>16.23</v>
      </c>
      <c r="AL190" s="73"/>
      <c r="AM190" s="74">
        <f t="shared" si="0"/>
        <v>0</v>
      </c>
      <c r="AN190" s="75">
        <f t="shared" si="66"/>
        <v>0</v>
      </c>
    </row>
    <row r="191" spans="1:40" ht="30">
      <c r="A191" t="str">
        <f t="shared" si="48"/>
        <v>S</v>
      </c>
      <c r="B191">
        <f ca="1" t="shared" si="68"/>
        <v>3</v>
      </c>
      <c r="C191" t="str">
        <f ca="1" t="shared" si="69"/>
        <v>S</v>
      </c>
      <c r="D191">
        <f t="shared" si="70"/>
        <v>0</v>
      </c>
      <c r="E191" t="e">
        <f ca="1">IF($C191=1,OFFSET(E191,-1,0)+MAX(1,COUNTIF('[1]QCI'!$A$13:$A$24,OFFSET('[1]ORÇAMENTO'!E192,-1,0))),OFFSET(E191,-1,0))</f>
        <v>#VALUE!</v>
      </c>
      <c r="F191">
        <f ca="1" t="shared" si="71"/>
        <v>1</v>
      </c>
      <c r="G191">
        <f ca="1" t="shared" si="72"/>
        <v>1</v>
      </c>
      <c r="H191">
        <f ca="1" t="shared" si="73"/>
        <v>0</v>
      </c>
      <c r="I191">
        <f ca="1" t="shared" si="74"/>
        <v>0</v>
      </c>
      <c r="J191">
        <f ca="1" t="shared" si="47"/>
        <v>0</v>
      </c>
      <c r="K191">
        <f ca="1">IF(OR($C191="S",$C191=0),0,MATCH(OFFSET($D191,0,$C191)+IF($C191&lt;&gt;1,1,COUNTIF('[1]QCI'!$A$13:$A$24,'[1]ORÇAMENTO'!E192)),OFFSET($D191,1,$C191,ROW($C$223)-ROW($C191)),0))</f>
        <v>0</v>
      </c>
      <c r="L191" s="53">
        <f t="shared" si="75"/>
      </c>
      <c r="M191" s="54" t="s">
        <v>7</v>
      </c>
      <c r="N191" s="55" t="str">
        <f t="shared" si="76"/>
        <v>Serviço</v>
      </c>
      <c r="O191" s="56" t="s">
        <v>415</v>
      </c>
      <c r="P191" s="57" t="s">
        <v>62</v>
      </c>
      <c r="Q191" s="58" t="s">
        <v>139</v>
      </c>
      <c r="R191" s="59" t="s">
        <v>132</v>
      </c>
      <c r="S191" s="60" t="s">
        <v>141</v>
      </c>
      <c r="T191" s="61">
        <f>AJ191</f>
        <v>16.23</v>
      </c>
      <c r="U191" s="62"/>
      <c r="V191" s="63" t="s">
        <v>10</v>
      </c>
      <c r="W191" s="61">
        <f t="shared" si="58"/>
        <v>0</v>
      </c>
      <c r="X191" s="64">
        <f t="shared" si="59"/>
        <v>0</v>
      </c>
      <c r="Y191" s="65" t="s">
        <v>63</v>
      </c>
      <c r="Z191">
        <f t="shared" si="77"/>
      </c>
      <c r="AA191" s="66">
        <f>IF($C191="S",IF($Z191="CP",$X191,IF($Z191="RA",(($X191)*'[1]QCI'!$AA$3),0)),SomaAgrup)</f>
        <v>0</v>
      </c>
      <c r="AB191" s="67">
        <f t="shared" si="61"/>
        <v>0</v>
      </c>
      <c r="AC191" s="68">
        <f t="shared" si="62"/>
      </c>
      <c r="AD191" s="8">
        <f ca="1">IF(C191&lt;=CRONO.NivelExibicao,MAX($AD$15:OFFSET(AD191,-1,0))+IF($C191&lt;&gt;1,1,MAX(1,COUNTIF('[1]QCI'!$A$13:$A$24,OFFSET($E191,-1,0)))),"")</f>
      </c>
      <c r="AE191" s="18" t="str">
        <f t="shared" si="63"/>
        <v>SINAPI  94195 </v>
      </c>
      <c r="AF191" s="69" t="e">
        <f ca="1" t="shared" si="64"/>
        <v>#VALUE!</v>
      </c>
      <c r="AG191" s="70">
        <v>34.47</v>
      </c>
      <c r="AH191" s="71">
        <f t="shared" si="65"/>
        <v>0.2282</v>
      </c>
      <c r="AJ191" s="72">
        <v>16.23</v>
      </c>
      <c r="AL191" s="73"/>
      <c r="AM191" s="74">
        <f t="shared" si="0"/>
        <v>0</v>
      </c>
      <c r="AN191" s="75">
        <f t="shared" si="66"/>
        <v>0</v>
      </c>
    </row>
    <row r="192" spans="1:40" ht="15">
      <c r="A192">
        <f t="shared" si="48"/>
        <v>1</v>
      </c>
      <c r="B192">
        <f ca="1" t="shared" si="68"/>
        <v>1</v>
      </c>
      <c r="C192">
        <f ca="1" t="shared" si="69"/>
        <v>1</v>
      </c>
      <c r="D192">
        <f t="shared" si="70"/>
        <v>31</v>
      </c>
      <c r="E192" t="e">
        <f ca="1">IF($C192=1,OFFSET(E192,-1,0)+MAX(1,COUNTIF('[1]QCI'!$A$13:$A$24,OFFSET('[1]ORÇAMENTO'!E193,-1,0))),OFFSET(E192,-1,0))</f>
        <v>#VALUE!</v>
      </c>
      <c r="F192">
        <f ca="1" t="shared" si="71"/>
        <v>0</v>
      </c>
      <c r="G192">
        <f ca="1" t="shared" si="72"/>
        <v>0</v>
      </c>
      <c r="H192">
        <f ca="1" t="shared" si="73"/>
        <v>0</v>
      </c>
      <c r="I192">
        <f ca="1" t="shared" si="74"/>
        <v>0</v>
      </c>
      <c r="J192">
        <f ca="1" t="shared" si="47"/>
        <v>31</v>
      </c>
      <c r="K192" t="e">
        <f ca="1">IF(OR($C192="S",$C192=0),0,MATCH(OFFSET($D192,0,$C192)+IF($C192&lt;&gt;1,1,COUNTIF('[1]QCI'!$A$13:$A$24,'[1]ORÇAMENTO'!E193)),OFFSET($D192,1,$C192,ROW($C$223)-ROW($C192)),0))</f>
        <v>#VALUE!</v>
      </c>
      <c r="L192" s="53" t="str">
        <f t="shared" si="75"/>
        <v>F</v>
      </c>
      <c r="M192" s="54" t="s">
        <v>3</v>
      </c>
      <c r="N192" s="55" t="str">
        <f t="shared" si="76"/>
        <v>Meta</v>
      </c>
      <c r="O192" s="56" t="s">
        <v>416</v>
      </c>
      <c r="P192" s="57" t="s">
        <v>62</v>
      </c>
      <c r="Q192" s="58"/>
      <c r="R192" s="59" t="s">
        <v>112</v>
      </c>
      <c r="S192" s="60" t="str">
        <f t="shared" si="67"/>
        <v>-</v>
      </c>
      <c r="T192" s="61" t="e">
        <f ca="1">OFFSET('[1]CÁLCULO'!H$15,ROW($T192)-ROW(T$15),0)</f>
        <v>#VALUE!</v>
      </c>
      <c r="U192" s="62"/>
      <c r="V192" s="63" t="s">
        <v>10</v>
      </c>
      <c r="W192" s="61">
        <f t="shared" si="58"/>
        <v>0</v>
      </c>
      <c r="X192" s="64">
        <f>ROUND(SUM(X193),2)</f>
        <v>0</v>
      </c>
      <c r="Y192" s="65" t="s">
        <v>63</v>
      </c>
      <c r="Z192">
        <f t="shared" si="77"/>
      </c>
      <c r="AA192" s="66">
        <f>IF($C192="S",IF($Z192="CP",$X192,IF($Z192="RA",(($X192)*'[1]QCI'!$AA$3),0)),SomaAgrup)</f>
        <v>0</v>
      </c>
      <c r="AB192" s="67">
        <f t="shared" si="61"/>
        <v>0</v>
      </c>
      <c r="AC192" s="68">
        <f t="shared" si="62"/>
      </c>
      <c r="AD192" s="8" t="e">
        <f ca="1">IF(C192&lt;=CRONO.NivelExibicao,MAX($AD$15:OFFSET(AD192,-1,0))+IF($C192&lt;&gt;1,1,MAX(1,COUNTIF('[1]QCI'!$A$13:$A$24,OFFSET($E192,-1,0)))),"")</f>
        <v>#VALUE!</v>
      </c>
      <c r="AE192" s="18" t="b">
        <f t="shared" si="63"/>
        <v>0</v>
      </c>
      <c r="AF192" s="69" t="e">
        <f ca="1" t="shared" si="64"/>
        <v>#VALUE!</v>
      </c>
      <c r="AG192" s="70"/>
      <c r="AH192" s="71">
        <f t="shared" si="65"/>
        <v>0.2282</v>
      </c>
      <c r="AJ192" s="72"/>
      <c r="AL192" s="73"/>
      <c r="AM192" s="74">
        <f t="shared" si="0"/>
        <v>0</v>
      </c>
      <c r="AN192" s="75">
        <f t="shared" si="66"/>
        <v>0</v>
      </c>
    </row>
    <row r="193" spans="1:40" ht="15">
      <c r="A193" t="str">
        <f t="shared" si="48"/>
        <v>S</v>
      </c>
      <c r="B193">
        <f ca="1" t="shared" si="68"/>
        <v>2</v>
      </c>
      <c r="C193">
        <f ca="1" t="shared" si="69"/>
        <v>2</v>
      </c>
      <c r="D193">
        <f t="shared" si="70"/>
        <v>3</v>
      </c>
      <c r="E193" t="e">
        <f ca="1">IF($C193=1,OFFSET(E193,-1,0)+MAX(1,COUNTIF('[1]QCI'!$A$13:$A$24,OFFSET('[1]ORÇAMENTO'!E194,-1,0))),OFFSET(E193,-1,0))</f>
        <v>#VALUE!</v>
      </c>
      <c r="F193">
        <f ca="1" t="shared" si="71"/>
        <v>1</v>
      </c>
      <c r="G193">
        <f ca="1" t="shared" si="72"/>
        <v>0</v>
      </c>
      <c r="H193">
        <f ca="1" t="shared" si="73"/>
        <v>0</v>
      </c>
      <c r="I193">
        <f ca="1" t="shared" si="74"/>
        <v>0</v>
      </c>
      <c r="J193">
        <f ca="1" t="shared" si="47"/>
        <v>3</v>
      </c>
      <c r="K193">
        <f ca="1">IF(OR($C193="S",$C193=0),0,MATCH(OFFSET($D193,0,$C193)+IF($C193&lt;&gt;1,1,COUNTIF('[1]QCI'!$A$13:$A$24,'[1]ORÇAMENTO'!E194)),OFFSET($D193,1,$C193,ROW($C$223)-ROW($C193)),0))</f>
        <v>7</v>
      </c>
      <c r="L193" s="53" t="str">
        <f t="shared" si="75"/>
        <v>F</v>
      </c>
      <c r="M193" s="54" t="s">
        <v>7</v>
      </c>
      <c r="N193" s="55" t="str">
        <f t="shared" si="76"/>
        <v>Nível 2</v>
      </c>
      <c r="O193" s="56" t="s">
        <v>417</v>
      </c>
      <c r="P193" s="57" t="s">
        <v>62</v>
      </c>
      <c r="Q193" s="58"/>
      <c r="R193" s="59" t="s">
        <v>72</v>
      </c>
      <c r="S193" s="60" t="str">
        <f t="shared" si="67"/>
        <v>-</v>
      </c>
      <c r="T193" s="61" t="e">
        <f ca="1">OFFSET('[1]CÁLCULO'!H$15,ROW($T193)-ROW(T$15),0)</f>
        <v>#VALUE!</v>
      </c>
      <c r="U193" s="62"/>
      <c r="V193" s="63" t="s">
        <v>10</v>
      </c>
      <c r="W193" s="61">
        <f t="shared" si="58"/>
        <v>0</v>
      </c>
      <c r="X193" s="64">
        <f>ROUND(SUM(X194:X195),2)</f>
        <v>0</v>
      </c>
      <c r="Y193" s="65" t="s">
        <v>63</v>
      </c>
      <c r="Z193">
        <f t="shared" si="77"/>
      </c>
      <c r="AA193" s="66">
        <f>IF($C193="S",IF($Z193="CP",$X193,IF($Z193="RA",(($X193)*'[1]QCI'!$AA$3),0)),SomaAgrup)</f>
        <v>0</v>
      </c>
      <c r="AB193" s="67">
        <f t="shared" si="61"/>
        <v>0</v>
      </c>
      <c r="AC193" s="68">
        <f t="shared" si="62"/>
      </c>
      <c r="AD193" s="8" t="e">
        <f ca="1">IF(C193&lt;=CRONO.NivelExibicao,MAX($AD$15:OFFSET(AD193,-1,0))+IF($C193&lt;&gt;1,1,MAX(1,COUNTIF('[1]QCI'!$A$13:$A$24,OFFSET($E193,-1,0)))),"")</f>
        <v>#VALUE!</v>
      </c>
      <c r="AE193" s="18" t="b">
        <f t="shared" si="63"/>
        <v>0</v>
      </c>
      <c r="AF193" s="69" t="e">
        <f ca="1" t="shared" si="64"/>
        <v>#VALUE!</v>
      </c>
      <c r="AG193" s="70"/>
      <c r="AH193" s="71">
        <f t="shared" si="65"/>
        <v>0.2282</v>
      </c>
      <c r="AJ193" s="72"/>
      <c r="AL193" s="73"/>
      <c r="AM193" s="74">
        <f t="shared" si="0"/>
        <v>0</v>
      </c>
      <c r="AN193" s="75">
        <f t="shared" si="66"/>
        <v>0</v>
      </c>
    </row>
    <row r="194" spans="1:40" ht="30">
      <c r="A194" t="str">
        <f t="shared" si="48"/>
        <v>S</v>
      </c>
      <c r="B194">
        <f ca="1" t="shared" si="68"/>
        <v>2</v>
      </c>
      <c r="C194" t="str">
        <f ca="1" t="shared" si="69"/>
        <v>S</v>
      </c>
      <c r="D194">
        <f t="shared" si="70"/>
        <v>0</v>
      </c>
      <c r="E194" t="e">
        <f ca="1">IF($C194=1,OFFSET(E194,-1,0)+MAX(1,COUNTIF('[1]QCI'!$A$13:$A$24,OFFSET('[1]ORÇAMENTO'!E195,-1,0))),OFFSET(E194,-1,0))</f>
        <v>#VALUE!</v>
      </c>
      <c r="F194">
        <f ca="1" t="shared" si="71"/>
        <v>1</v>
      </c>
      <c r="G194">
        <f ca="1" t="shared" si="72"/>
        <v>0</v>
      </c>
      <c r="H194">
        <f ca="1" t="shared" si="73"/>
        <v>0</v>
      </c>
      <c r="I194">
        <f ca="1" t="shared" si="74"/>
        <v>0</v>
      </c>
      <c r="J194">
        <f ca="1" t="shared" si="47"/>
        <v>0</v>
      </c>
      <c r="K194">
        <f ca="1">IF(OR($C194="S",$C194=0),0,MATCH(OFFSET($D194,0,$C194)+IF($C194&lt;&gt;1,1,COUNTIF('[1]QCI'!$A$13:$A$24,'[1]ORÇAMENTO'!E195)),OFFSET($D194,1,$C194,ROW($C$223)-ROW($C194)),0))</f>
        <v>0</v>
      </c>
      <c r="L194" s="53">
        <f t="shared" si="75"/>
      </c>
      <c r="M194" s="54" t="s">
        <v>7</v>
      </c>
      <c r="N194" s="55" t="str">
        <f t="shared" si="76"/>
        <v>Serviço</v>
      </c>
      <c r="O194" s="56" t="s">
        <v>418</v>
      </c>
      <c r="P194" s="57" t="s">
        <v>62</v>
      </c>
      <c r="Q194" s="58" t="s">
        <v>134</v>
      </c>
      <c r="R194" s="59" t="s">
        <v>127</v>
      </c>
      <c r="S194" s="60" t="s">
        <v>141</v>
      </c>
      <c r="T194" s="61">
        <f>AJ194</f>
        <v>6.31</v>
      </c>
      <c r="U194" s="62"/>
      <c r="V194" s="63" t="s">
        <v>10</v>
      </c>
      <c r="W194" s="61">
        <f t="shared" si="58"/>
        <v>0</v>
      </c>
      <c r="X194" s="64">
        <f t="shared" si="59"/>
        <v>0</v>
      </c>
      <c r="Y194" s="65" t="s">
        <v>63</v>
      </c>
      <c r="Z194">
        <f t="shared" si="77"/>
      </c>
      <c r="AA194" s="66">
        <f>IF($C194="S",IF($Z194="CP",$X194,IF($Z194="RA",(($X194)*'[1]QCI'!$AA$3),0)),SomaAgrup)</f>
        <v>0</v>
      </c>
      <c r="AB194" s="67">
        <f t="shared" si="61"/>
        <v>0</v>
      </c>
      <c r="AC194" s="68">
        <f t="shared" si="62"/>
      </c>
      <c r="AD194" s="8">
        <f ca="1">IF(C194&lt;=CRONO.NivelExibicao,MAX($AD$15:OFFSET(AD194,-1,0))+IF($C194&lt;&gt;1,1,MAX(1,COUNTIF('[1]QCI'!$A$13:$A$24,OFFSET($E194,-1,0)))),"")</f>
      </c>
      <c r="AE194" s="18" t="str">
        <f t="shared" si="63"/>
        <v>SINAPI  97647 </v>
      </c>
      <c r="AF194" s="69" t="e">
        <f ca="1" t="shared" si="64"/>
        <v>#VALUE!</v>
      </c>
      <c r="AG194" s="70">
        <v>2.81</v>
      </c>
      <c r="AH194" s="71">
        <f t="shared" si="65"/>
        <v>0.2282</v>
      </c>
      <c r="AJ194" s="72">
        <v>6.31</v>
      </c>
      <c r="AL194" s="73"/>
      <c r="AM194" s="74">
        <f t="shared" si="0"/>
        <v>0</v>
      </c>
      <c r="AN194" s="75">
        <f t="shared" si="66"/>
        <v>0</v>
      </c>
    </row>
    <row r="195" spans="1:40" ht="30">
      <c r="A195" t="str">
        <f t="shared" si="48"/>
        <v>S</v>
      </c>
      <c r="B195">
        <f ca="1" t="shared" si="68"/>
        <v>2</v>
      </c>
      <c r="C195" t="str">
        <f ca="1" t="shared" si="69"/>
        <v>S</v>
      </c>
      <c r="D195">
        <f t="shared" si="70"/>
        <v>0</v>
      </c>
      <c r="E195" t="e">
        <f ca="1">IF($C195=1,OFFSET(E195,-1,0)+MAX(1,COUNTIF('[1]QCI'!$A$13:$A$24,OFFSET('[1]ORÇAMENTO'!E196,-1,0))),OFFSET(E195,-1,0))</f>
        <v>#VALUE!</v>
      </c>
      <c r="F195">
        <f ca="1" t="shared" si="71"/>
        <v>1</v>
      </c>
      <c r="G195">
        <f ca="1" t="shared" si="72"/>
        <v>0</v>
      </c>
      <c r="H195">
        <f ca="1" t="shared" si="73"/>
        <v>0</v>
      </c>
      <c r="I195">
        <f ca="1" t="shared" si="74"/>
        <v>0</v>
      </c>
      <c r="J195">
        <f ca="1" t="shared" si="47"/>
        <v>0</v>
      </c>
      <c r="K195">
        <f ca="1">IF(OR($C195="S",$C195=0),0,MATCH(OFFSET($D195,0,$C195)+IF($C195&lt;&gt;1,1,COUNTIF('[1]QCI'!$A$13:$A$24,'[1]ORÇAMENTO'!E196)),OFFSET($D195,1,$C195,ROW($C$223)-ROW($C195)),0))</f>
        <v>0</v>
      </c>
      <c r="L195" s="53">
        <f t="shared" si="75"/>
      </c>
      <c r="M195" s="54" t="s">
        <v>7</v>
      </c>
      <c r="N195" s="55" t="str">
        <f t="shared" si="76"/>
        <v>Serviço</v>
      </c>
      <c r="O195" s="56" t="s">
        <v>419</v>
      </c>
      <c r="P195" s="57" t="s">
        <v>62</v>
      </c>
      <c r="Q195" s="58" t="s">
        <v>139</v>
      </c>
      <c r="R195" s="59" t="s">
        <v>132</v>
      </c>
      <c r="S195" s="60" t="s">
        <v>141</v>
      </c>
      <c r="T195" s="61">
        <f>AJ195</f>
        <v>6.31</v>
      </c>
      <c r="U195" s="62"/>
      <c r="V195" s="63" t="s">
        <v>10</v>
      </c>
      <c r="W195" s="61">
        <f t="shared" si="58"/>
        <v>0</v>
      </c>
      <c r="X195" s="64">
        <f t="shared" si="59"/>
        <v>0</v>
      </c>
      <c r="Y195" s="65" t="s">
        <v>63</v>
      </c>
      <c r="Z195">
        <f t="shared" si="77"/>
      </c>
      <c r="AA195" s="66">
        <f>IF($C195="S",IF($Z195="CP",$X195,IF($Z195="RA",(($X195)*'[1]QCI'!$AA$3),0)),SomaAgrup)</f>
        <v>0</v>
      </c>
      <c r="AB195" s="67">
        <f t="shared" si="61"/>
        <v>0</v>
      </c>
      <c r="AC195" s="68">
        <f t="shared" si="62"/>
      </c>
      <c r="AD195" s="8">
        <f ca="1">IF(C195&lt;=CRONO.NivelExibicao,MAX($AD$15:OFFSET(AD195,-1,0))+IF($C195&lt;&gt;1,1,MAX(1,COUNTIF('[1]QCI'!$A$13:$A$24,OFFSET($E195,-1,0)))),"")</f>
      </c>
      <c r="AE195" s="18" t="str">
        <f t="shared" si="63"/>
        <v>SINAPI  94195 </v>
      </c>
      <c r="AF195" s="69" t="e">
        <f ca="1" t="shared" si="64"/>
        <v>#VALUE!</v>
      </c>
      <c r="AG195" s="70">
        <v>34.47</v>
      </c>
      <c r="AH195" s="71">
        <f t="shared" si="65"/>
        <v>0.2282</v>
      </c>
      <c r="AJ195" s="72">
        <v>6.31</v>
      </c>
      <c r="AL195" s="73"/>
      <c r="AM195" s="74">
        <f t="shared" si="0"/>
        <v>0</v>
      </c>
      <c r="AN195" s="75">
        <f t="shared" si="66"/>
        <v>0</v>
      </c>
    </row>
    <row r="196" spans="1:40" ht="15">
      <c r="A196">
        <f t="shared" si="34"/>
        <v>1</v>
      </c>
      <c r="B196">
        <f ca="1" t="shared" si="2"/>
        <v>1</v>
      </c>
      <c r="C196">
        <f ca="1" t="shared" si="3"/>
        <v>1</v>
      </c>
      <c r="D196">
        <f t="shared" si="4"/>
        <v>27</v>
      </c>
      <c r="E196" t="e">
        <f ca="1">IF($C196=1,OFFSET(E196,-1,0)+MAX(1,COUNTIF('[1]QCI'!$A$13:$A$24,OFFSET('[1]ORÇAMENTO'!E197,-1,0))),OFFSET(E196,-1,0))</f>
        <v>#VALUE!</v>
      </c>
      <c r="F196">
        <f ca="1" t="shared" si="5"/>
        <v>0</v>
      </c>
      <c r="G196">
        <f ca="1" t="shared" si="6"/>
        <v>0</v>
      </c>
      <c r="H196">
        <f ca="1" t="shared" si="7"/>
        <v>0</v>
      </c>
      <c r="I196">
        <f ca="1" t="shared" si="8"/>
        <v>0</v>
      </c>
      <c r="J196">
        <f ca="1" t="shared" si="47"/>
        <v>27</v>
      </c>
      <c r="K196" t="e">
        <f ca="1">IF(OR($C196="S",$C196=0),0,MATCH(OFFSET($D196,0,$C196)+IF($C196&lt;&gt;1,1,COUNTIF('[1]QCI'!$A$13:$A$24,'[1]ORÇAMENTO'!E197)),OFFSET($D196,1,$C196,ROW($C$223)-ROW($C196)),0))</f>
        <v>#VALUE!</v>
      </c>
      <c r="L196" s="53" t="str">
        <f t="shared" si="10"/>
        <v>F</v>
      </c>
      <c r="M196" s="54" t="s">
        <v>3</v>
      </c>
      <c r="N196" s="55" t="str">
        <f t="shared" si="11"/>
        <v>Meta</v>
      </c>
      <c r="O196" s="56" t="s">
        <v>420</v>
      </c>
      <c r="P196" s="57" t="s">
        <v>62</v>
      </c>
      <c r="Q196" s="58"/>
      <c r="R196" s="59" t="s">
        <v>113</v>
      </c>
      <c r="S196" s="60" t="str">
        <f>REFERENCIA.Unidade</f>
        <v>-</v>
      </c>
      <c r="T196" s="61" t="e">
        <f ca="1">OFFSET('[1]CÁLCULO'!H$15,ROW($T196)-ROW(T$15),0)</f>
        <v>#VALUE!</v>
      </c>
      <c r="U196" s="62"/>
      <c r="V196" s="63" t="s">
        <v>10</v>
      </c>
      <c r="W196" s="61">
        <f t="shared" si="35"/>
        <v>0</v>
      </c>
      <c r="X196" s="64">
        <f>ROUND(SUM(X197,X200),2)</f>
        <v>0</v>
      </c>
      <c r="Y196" s="65" t="s">
        <v>63</v>
      </c>
      <c r="Z196">
        <f t="shared" si="13"/>
      </c>
      <c r="AA196" s="66">
        <f>IF($C196="S",IF($Z196="CP",$X196,IF($Z196="RA",(($X196)*'[1]QCI'!$AA$3),0)),SomaAgrup)</f>
        <v>0</v>
      </c>
      <c r="AB196" s="67">
        <f t="shared" si="36"/>
        <v>0</v>
      </c>
      <c r="AC196" s="68">
        <f t="shared" si="37"/>
      </c>
      <c r="AD196" s="8" t="e">
        <f ca="1">IF(C196&lt;=CRONO.NivelExibicao,MAX($AD$15:OFFSET(AD196,-1,0))+IF($C196&lt;&gt;1,1,MAX(1,COUNTIF('[1]QCI'!$A$13:$A$24,OFFSET($E196,-1,0)))),"")</f>
        <v>#VALUE!</v>
      </c>
      <c r="AE196" s="18" t="b">
        <f t="shared" si="38"/>
        <v>0</v>
      </c>
      <c r="AF196" s="69" t="e">
        <f ca="1" t="shared" si="39"/>
        <v>#VALUE!</v>
      </c>
      <c r="AG196" s="70"/>
      <c r="AH196" s="71">
        <f t="shared" si="40"/>
        <v>0.2282</v>
      </c>
      <c r="AJ196" s="72"/>
      <c r="AL196" s="73"/>
      <c r="AM196" s="74">
        <f t="shared" si="0"/>
        <v>0</v>
      </c>
      <c r="AN196" s="75">
        <f t="shared" si="41"/>
        <v>0</v>
      </c>
    </row>
    <row r="197" spans="1:40" ht="15">
      <c r="A197" t="str">
        <f t="shared" si="34"/>
        <v>S</v>
      </c>
      <c r="B197">
        <f ca="1" t="shared" si="2"/>
        <v>2</v>
      </c>
      <c r="C197">
        <f ca="1" t="shared" si="3"/>
        <v>2</v>
      </c>
      <c r="D197">
        <f t="shared" si="4"/>
        <v>3</v>
      </c>
      <c r="E197" t="e">
        <f ca="1">IF($C197=1,OFFSET(E197,-1,0)+MAX(1,COUNTIF('[1]QCI'!$A$13:$A$24,OFFSET('[1]ORÇAMENTO'!E198,-1,0))),OFFSET(E197,-1,0))</f>
        <v>#VALUE!</v>
      </c>
      <c r="F197">
        <f ca="1" t="shared" si="5"/>
        <v>1</v>
      </c>
      <c r="G197">
        <f ca="1" t="shared" si="6"/>
        <v>0</v>
      </c>
      <c r="H197">
        <f ca="1" t="shared" si="7"/>
        <v>0</v>
      </c>
      <c r="I197">
        <f ca="1" t="shared" si="8"/>
        <v>0</v>
      </c>
      <c r="J197">
        <f ca="1" t="shared" si="47"/>
        <v>12</v>
      </c>
      <c r="K197">
        <f ca="1">IF(OR($C197="S",$C197=0),0,MATCH(OFFSET($D197,0,$C197)+IF($C197&lt;&gt;1,1,COUNTIF('[1]QCI'!$A$13:$A$24,'[1]ORÇAMENTO'!E198)),OFFSET($D197,1,$C197,ROW($C$223)-ROW($C197)),0))</f>
        <v>3</v>
      </c>
      <c r="L197" s="53" t="str">
        <f t="shared" si="10"/>
        <v>F</v>
      </c>
      <c r="M197" s="54" t="s">
        <v>7</v>
      </c>
      <c r="N197" s="55" t="str">
        <f t="shared" si="11"/>
        <v>Nível 2</v>
      </c>
      <c r="O197" s="56" t="s">
        <v>421</v>
      </c>
      <c r="P197" s="57" t="s">
        <v>62</v>
      </c>
      <c r="Q197" s="58"/>
      <c r="R197" s="59" t="s">
        <v>114</v>
      </c>
      <c r="S197" s="60" t="str">
        <f>REFERENCIA.Unidade</f>
        <v>-</v>
      </c>
      <c r="T197" s="61" t="e">
        <f ca="1">OFFSET('[1]CÁLCULO'!H$15,ROW($T197)-ROW(T$15),0)</f>
        <v>#VALUE!</v>
      </c>
      <c r="U197" s="62"/>
      <c r="V197" s="63" t="s">
        <v>10</v>
      </c>
      <c r="W197" s="61">
        <f t="shared" si="35"/>
        <v>0</v>
      </c>
      <c r="X197" s="64">
        <f>ROUND(SUM(X198:X199),2)</f>
        <v>0</v>
      </c>
      <c r="Y197" s="65" t="s">
        <v>63</v>
      </c>
      <c r="Z197">
        <f t="shared" si="13"/>
      </c>
      <c r="AA197" s="66">
        <f>IF($C197="S",IF($Z197="CP",$X197,IF($Z197="RA",(($X197)*'[1]QCI'!$AA$3),0)),SomaAgrup)</f>
        <v>0</v>
      </c>
      <c r="AB197" s="67">
        <f t="shared" si="36"/>
        <v>0</v>
      </c>
      <c r="AC197" s="68">
        <f t="shared" si="37"/>
      </c>
      <c r="AD197" s="8" t="e">
        <f ca="1">IF(C197&lt;=CRONO.NivelExibicao,MAX($AD$15:OFFSET(AD197,-1,0))+IF($C197&lt;&gt;1,1,MAX(1,COUNTIF('[1]QCI'!$A$13:$A$24,OFFSET($E197,-1,0)))),"")</f>
        <v>#VALUE!</v>
      </c>
      <c r="AE197" s="18" t="b">
        <f t="shared" si="38"/>
        <v>0</v>
      </c>
      <c r="AF197" s="69" t="e">
        <f ca="1" t="shared" si="39"/>
        <v>#VALUE!</v>
      </c>
      <c r="AG197" s="70"/>
      <c r="AH197" s="71">
        <f t="shared" si="40"/>
        <v>0.2282</v>
      </c>
      <c r="AJ197" s="72"/>
      <c r="AL197" s="73"/>
      <c r="AM197" s="74">
        <f t="shared" si="0"/>
        <v>0</v>
      </c>
      <c r="AN197" s="75">
        <f t="shared" si="41"/>
        <v>0</v>
      </c>
    </row>
    <row r="198" spans="1:40" ht="30">
      <c r="A198" t="str">
        <f t="shared" si="34"/>
        <v>S</v>
      </c>
      <c r="B198">
        <f ca="1" t="shared" si="2"/>
        <v>2</v>
      </c>
      <c r="C198" t="str">
        <f ca="1" t="shared" si="3"/>
        <v>S</v>
      </c>
      <c r="D198">
        <f t="shared" si="4"/>
        <v>0</v>
      </c>
      <c r="E198" t="e">
        <f ca="1">IF($C198=1,OFFSET(E198,-1,0)+MAX(1,COUNTIF('[1]QCI'!$A$13:$A$24,OFFSET('[1]ORÇAMENTO'!E199,-1,0))),OFFSET(E198,-1,0))</f>
        <v>#VALUE!</v>
      </c>
      <c r="F198">
        <f ca="1" t="shared" si="5"/>
        <v>1</v>
      </c>
      <c r="G198">
        <f ca="1" t="shared" si="6"/>
        <v>0</v>
      </c>
      <c r="H198">
        <f ca="1" t="shared" si="7"/>
        <v>0</v>
      </c>
      <c r="I198">
        <f ca="1" t="shared" si="8"/>
        <v>0</v>
      </c>
      <c r="J198">
        <f ca="1" t="shared" si="47"/>
        <v>0</v>
      </c>
      <c r="K198">
        <f ca="1">IF(OR($C198="S",$C198=0),0,MATCH(OFFSET($D198,0,$C198)+IF($C198&lt;&gt;1,1,COUNTIF('[1]QCI'!$A$13:$A$24,'[1]ORÇAMENTO'!E199)),OFFSET($D198,1,$C198,ROW($C$223)-ROW($C198)),0))</f>
        <v>0</v>
      </c>
      <c r="L198" s="53">
        <f t="shared" si="10"/>
      </c>
      <c r="M198" s="54" t="s">
        <v>7</v>
      </c>
      <c r="N198" s="55" t="str">
        <f t="shared" si="11"/>
        <v>Serviço</v>
      </c>
      <c r="O198" s="56" t="s">
        <v>422</v>
      </c>
      <c r="P198" s="57" t="s">
        <v>62</v>
      </c>
      <c r="Q198" s="58" t="s">
        <v>211</v>
      </c>
      <c r="R198" s="59" t="s">
        <v>213</v>
      </c>
      <c r="S198" s="60" t="s">
        <v>148</v>
      </c>
      <c r="T198" s="61">
        <f>AJ198</f>
        <v>80</v>
      </c>
      <c r="U198" s="62"/>
      <c r="V198" s="63" t="s">
        <v>10</v>
      </c>
      <c r="W198" s="61">
        <f t="shared" si="35"/>
        <v>0</v>
      </c>
      <c r="X198" s="64">
        <f>IF($C198="S",VTOTAL1,IF($C198=0,0,ROUND(SomaAgrup,15-13*$AF$11)))</f>
        <v>0</v>
      </c>
      <c r="Y198" s="65" t="s">
        <v>63</v>
      </c>
      <c r="Z198">
        <f t="shared" si="13"/>
      </c>
      <c r="AA198" s="66">
        <f>IF($C198="S",IF($Z198="CP",$X198,IF($Z198="RA",(($X198)*'[1]QCI'!$AA$3),0)),SomaAgrup)</f>
        <v>0</v>
      </c>
      <c r="AB198" s="67">
        <f t="shared" si="36"/>
        <v>0</v>
      </c>
      <c r="AC198" s="68">
        <f t="shared" si="37"/>
      </c>
      <c r="AD198" s="8">
        <f ca="1">IF(C198&lt;=CRONO.NivelExibicao,MAX($AD$15:OFFSET(AD198,-1,0))+IF($C198&lt;&gt;1,1,MAX(1,COUNTIF('[1]QCI'!$A$13:$A$24,OFFSET($E198,-1,0)))),"")</f>
      </c>
      <c r="AE198" s="18" t="str">
        <f t="shared" si="38"/>
        <v>SINAPI  88267 </v>
      </c>
      <c r="AF198" s="69" t="e">
        <f ca="1" t="shared" si="39"/>
        <v>#VALUE!</v>
      </c>
      <c r="AG198" s="70">
        <v>21.55</v>
      </c>
      <c r="AH198" s="71">
        <f t="shared" si="40"/>
        <v>0.2282</v>
      </c>
      <c r="AJ198" s="72">
        <v>80</v>
      </c>
      <c r="AL198" s="73"/>
      <c r="AM198" s="74">
        <f t="shared" si="0"/>
        <v>0</v>
      </c>
      <c r="AN198" s="75">
        <f t="shared" si="41"/>
        <v>0</v>
      </c>
    </row>
    <row r="199" spans="1:40" ht="30">
      <c r="A199" t="str">
        <f t="shared" si="34"/>
        <v>S</v>
      </c>
      <c r="B199">
        <f ca="1" t="shared" si="2"/>
        <v>2</v>
      </c>
      <c r="C199" t="str">
        <f ca="1" t="shared" si="3"/>
        <v>S</v>
      </c>
      <c r="D199">
        <f t="shared" si="4"/>
        <v>0</v>
      </c>
      <c r="E199" t="e">
        <f ca="1">IF($C199=1,OFFSET(E199,-1,0)+MAX(1,COUNTIF('[1]QCI'!$A$13:$A$24,OFFSET('[1]ORÇAMENTO'!E200,-1,0))),OFFSET(E199,-1,0))</f>
        <v>#VALUE!</v>
      </c>
      <c r="F199">
        <f ca="1" t="shared" si="5"/>
        <v>1</v>
      </c>
      <c r="G199">
        <f ca="1" t="shared" si="6"/>
        <v>0</v>
      </c>
      <c r="H199">
        <f ca="1" t="shared" si="7"/>
        <v>0</v>
      </c>
      <c r="I199">
        <f ca="1" t="shared" si="8"/>
        <v>0</v>
      </c>
      <c r="J199">
        <f ca="1" t="shared" si="47"/>
        <v>0</v>
      </c>
      <c r="K199">
        <f ca="1">IF(OR($C199="S",$C199=0),0,MATCH(OFFSET($D199,0,$C199)+IF($C199&lt;&gt;1,1,COUNTIF('[1]QCI'!$A$13:$A$24,'[1]ORÇAMENTO'!E200)),OFFSET($D199,1,$C199,ROW($C$223)-ROW($C199)),0))</f>
        <v>0</v>
      </c>
      <c r="L199" s="53">
        <f t="shared" si="10"/>
      </c>
      <c r="M199" s="54" t="s">
        <v>7</v>
      </c>
      <c r="N199" s="55" t="str">
        <f t="shared" si="11"/>
        <v>Serviço</v>
      </c>
      <c r="O199" s="56" t="s">
        <v>423</v>
      </c>
      <c r="P199" s="57" t="s">
        <v>62</v>
      </c>
      <c r="Q199" s="58" t="s">
        <v>212</v>
      </c>
      <c r="R199" s="59" t="s">
        <v>214</v>
      </c>
      <c r="S199" s="60" t="s">
        <v>148</v>
      </c>
      <c r="T199" s="61">
        <f>AJ199</f>
        <v>80</v>
      </c>
      <c r="U199" s="62"/>
      <c r="V199" s="63" t="s">
        <v>10</v>
      </c>
      <c r="W199" s="61">
        <f t="shared" si="35"/>
        <v>0</v>
      </c>
      <c r="X199" s="64">
        <f>IF($C199="S",VTOTAL1,IF($C199=0,0,ROUND(SomaAgrup,15-13*$AF$11)))</f>
        <v>0</v>
      </c>
      <c r="Y199" s="65" t="s">
        <v>63</v>
      </c>
      <c r="Z199">
        <f t="shared" si="13"/>
      </c>
      <c r="AA199" s="66">
        <f>IF($C199="S",IF($Z199="CP",$X199,IF($Z199="RA",(($X199)*'[1]QCI'!$AA$3),0)),SomaAgrup)</f>
        <v>0</v>
      </c>
      <c r="AB199" s="67">
        <f t="shared" si="36"/>
        <v>0</v>
      </c>
      <c r="AC199" s="68">
        <f t="shared" si="37"/>
      </c>
      <c r="AD199" s="8">
        <f ca="1">IF(C199&lt;=CRONO.NivelExibicao,MAX($AD$15:OFFSET(AD199,-1,0))+IF($C199&lt;&gt;1,1,MAX(1,COUNTIF('[1]QCI'!$A$13:$A$24,OFFSET($E199,-1,0)))),"")</f>
      </c>
      <c r="AE199" s="18" t="str">
        <f t="shared" si="38"/>
        <v>SINAPI  88248 </v>
      </c>
      <c r="AF199" s="69" t="e">
        <f ca="1" t="shared" si="39"/>
        <v>#VALUE!</v>
      </c>
      <c r="AG199" s="70">
        <v>18.47</v>
      </c>
      <c r="AH199" s="71">
        <f t="shared" si="40"/>
        <v>0.2282</v>
      </c>
      <c r="AJ199" s="72">
        <v>80</v>
      </c>
      <c r="AL199" s="73"/>
      <c r="AM199" s="74">
        <f t="shared" si="0"/>
        <v>0</v>
      </c>
      <c r="AN199" s="75">
        <f t="shared" si="41"/>
        <v>0</v>
      </c>
    </row>
    <row r="200" spans="1:40" ht="15">
      <c r="A200">
        <f aca="true" t="shared" si="78" ref="A200:A222">CHOOSE(1+LOG(1+2*(ORÇAMENTO.Nivel="Meta")+4*(ORÇAMENTO.Nivel="Nível 2")+8*(ORÇAMENTO.Nivel="Nível 3")+16*(ORÇAMENTO.Nivel="Nível 4")+32*(ORÇAMENTO.Nivel="Serviço"),2),0,1,2,3,4,"S")</f>
        <v>2</v>
      </c>
      <c r="B200">
        <f aca="true" ca="1" t="shared" si="79" ref="B200:B222">IF(OR(C200="s",C200=0),OFFSET(B200,-1,0),C200)</f>
        <v>2</v>
      </c>
      <c r="C200">
        <f aca="true" ca="1" t="shared" si="80" ref="C200:C222">IF(OFFSET(C200,-1,0)="L",1,IF(OFFSET(C200,-1,0)=1,2,IF(OR(A200="s",A200=0),"S",IF(AND(OFFSET(C200,-1,0)=2,A200=4),3,IF(AND(OR(OFFSET(C200,-1,0)="s",OFFSET(C200,-1,0)=0),A200&lt;&gt;"s",A200&gt;OFFSET(B200,-1,0)),OFFSET(B200,-1,0),A200)))))</f>
        <v>2</v>
      </c>
      <c r="D200">
        <f aca="true" t="shared" si="81" ref="D200:D222">IF(OR(C200="S",C200=0),0,IF(ISERROR(K200),J200,SMALL(J200:K200,1)))</f>
        <v>9</v>
      </c>
      <c r="E200" t="e">
        <f ca="1">IF($C200=1,OFFSET(E200,-1,0)+MAX(1,COUNTIF('[1]QCI'!$A$13:$A$24,OFFSET('[1]ORÇAMENTO'!E201,-1,0))),OFFSET(E200,-1,0))</f>
        <v>#VALUE!</v>
      </c>
      <c r="F200">
        <f aca="true" ca="1" t="shared" si="82" ref="F200:F222">IF($C200=1,0,IF($C200=2,OFFSET(F200,-1,0)+1,OFFSET(F200,-1,0)))</f>
        <v>2</v>
      </c>
      <c r="G200">
        <f aca="true" ca="1" t="shared" si="83" ref="G200:G222">IF(AND($C200&lt;=2,$C200&lt;&gt;0),0,IF($C200=3,OFFSET(G200,-1,0)+1,OFFSET(G200,-1,0)))</f>
        <v>0</v>
      </c>
      <c r="H200">
        <f aca="true" ca="1" t="shared" si="84" ref="H200:H222">IF(AND($C200&lt;=3,$C200&lt;&gt;0),0,IF($C200=4,OFFSET(H200,-1,0)+1,OFFSET(H200,-1,0)))</f>
        <v>0</v>
      </c>
      <c r="I200">
        <f aca="true" ca="1" t="shared" si="85" ref="I200:I222">IF(AND($C200&lt;=4,$C200&lt;&gt;0),0,IF(AND($C200="S",$X200&gt;0),OFFSET(I200,-1,0)+1,OFFSET(I200,-1,0)))</f>
        <v>0</v>
      </c>
      <c r="J200">
        <f ca="1" t="shared" si="47"/>
        <v>9</v>
      </c>
      <c r="K200" t="e">
        <f ca="1">IF(OR($C200="S",$C200=0),0,MATCH(OFFSET($D200,0,$C200)+IF($C200&lt;&gt;1,1,COUNTIF('[1]QCI'!$A$13:$A$24,'[1]ORÇAMENTO'!E201)),OFFSET($D200,1,$C200,ROW($C$223)-ROW($C200)),0))</f>
        <v>#N/A</v>
      </c>
      <c r="L200" s="53" t="str">
        <f aca="true" t="shared" si="86" ref="L200:L222">IF(OR($X200&gt;0,$C200=1,$C200=2,$C200=3,$C200=4),"F","")</f>
        <v>F</v>
      </c>
      <c r="M200" s="54" t="s">
        <v>4</v>
      </c>
      <c r="N200" s="55" t="str">
        <f aca="true" t="shared" si="87" ref="N200:N222">CHOOSE(1+LOG(1+2*(C200=1)+4*(C200=2)+8*(C200=3)+16*(C200=4)+32*(C200="S"),2),"","Meta","Nível 2","Nível 3","Nível 4","Serviço")</f>
        <v>Nível 2</v>
      </c>
      <c r="O200" s="56" t="s">
        <v>424</v>
      </c>
      <c r="P200" s="57" t="s">
        <v>62</v>
      </c>
      <c r="Q200" s="58"/>
      <c r="R200" s="59" t="s">
        <v>115</v>
      </c>
      <c r="S200" s="60" t="str">
        <f>REFERENCIA.Unidade</f>
        <v>-</v>
      </c>
      <c r="T200" s="61" t="e">
        <f ca="1">OFFSET('[1]CÁLCULO'!H$15,ROW($T200)-ROW(T$15),0)</f>
        <v>#VALUE!</v>
      </c>
      <c r="U200" s="62"/>
      <c r="V200" s="63" t="s">
        <v>10</v>
      </c>
      <c r="W200" s="61">
        <f aca="true" t="shared" si="88" ref="W200:W222">IF($C200="S",ROUND(IF(TIPOORCAMENTO="Proposto",ORÇAMENTO.CustoUnitario*(1+$AH200),ORÇAMENTO.PrecoUnitarioLicitado),15-13*$AF$10),0)</f>
        <v>0</v>
      </c>
      <c r="X200" s="64">
        <f>ROUND(SUM(X201:X208),2)</f>
        <v>0</v>
      </c>
      <c r="Y200" s="65" t="s">
        <v>63</v>
      </c>
      <c r="Z200">
        <f aca="true" t="shared" si="89" ref="Z200:Z222">IF(AND($C200="S",$X200&gt;0),IF(ISBLANK($Y200),"RA",LEFT($Y200,2)),"")</f>
      </c>
      <c r="AA200" s="66">
        <f>IF($C200="S",IF($Z200="CP",$X200,IF($Z200="RA",(($X200)*'[1]QCI'!$AA$3),0)),SomaAgrup)</f>
        <v>0</v>
      </c>
      <c r="AB200" s="67">
        <f aca="true" t="shared" si="90" ref="AB200:AB222">IF($C200="S",IF($Z200="OU",ROUND($X200,2),0),SomaAgrup)</f>
        <v>0</v>
      </c>
      <c r="AC200" s="68">
        <f aca="true" t="shared" si="91" ref="AC200:AC222">IF($N200="","",IF(ORÇAMENTO.Descricao="","DESCRIÇÃO",IF(AND($C200="S",ORÇAMENTO.Unidade=""),"UNIDADE",IF($X200&lt;0,"VALOR NEGATIVO",IF(OR(AND(TIPOORCAMENTO="Proposto",$AG200&lt;&gt;"",$AG200&gt;0,ORÇAMENTO.CustoUnitario&gt;$AG200),AND(TIPOORCAMENTO="LICITADO",ORÇAMENTO.PrecoUnitarioLicitado&gt;$AN200)),"ACIMA REF.","")))))</f>
      </c>
      <c r="AD200" s="8" t="e">
        <f ca="1">IF(C200&lt;=CRONO.NivelExibicao,MAX($AD$15:OFFSET(AD200,-1,0))+IF($C200&lt;&gt;1,1,MAX(1,COUNTIF('[1]QCI'!$A$13:$A$24,OFFSET($E200,-1,0)))),"")</f>
        <v>#VALUE!</v>
      </c>
      <c r="AE200" s="18" t="b">
        <f aca="true" t="shared" si="92" ref="AE200:AE222">IF(AND($C200="S",ORÇAMENTO.CodBarra&lt;&gt;""),IF(ORÇAMENTO.Fonte="",ORÇAMENTO.CodBarra,CONCATENATE(ORÇAMENTO.Fonte," ",ORÇAMENTO.CodBarra)))</f>
        <v>0</v>
      </c>
      <c r="AF200" s="69" t="e">
        <f aca="true" ca="1" t="shared" si="93" ref="AF200:AF222">IF(ISERROR(INDIRECT(ORÇAMENTO.BancoRef)),"(abra o arquivo 'Referência "&amp;Excel_BuiltIn_Database&amp;".xls)",IF(OR($C200&lt;&gt;"S",ORÇAMENTO.CodBarra=""),"(Sem Código)",IF(ISERROR(MATCH($AE200,INDIRECT(ORÇAMENTO.BancoRef),0)),"(Código não identificado nas referências)",MATCH($AE200,INDIRECT(ORÇAMENTO.BancoRef),0))))</f>
        <v>#VALUE!</v>
      </c>
      <c r="AG200" s="70"/>
      <c r="AH200" s="71">
        <f aca="true" t="shared" si="94" ref="AH200:AH222">ROUND(IF(ISNUMBER(ORÇAMENTO.OpcaoBDI),ORÇAMENTO.OpcaoBDI,IF(LEFT(ORÇAMENTO.OpcaoBDI,3)="BDI",HLOOKUP(ORÇAMENTO.OpcaoBDI,$F$4:$H$5,2,FALSE),0)),15-11*$AF$9)</f>
        <v>0.2282</v>
      </c>
      <c r="AJ200" s="72"/>
      <c r="AL200" s="73"/>
      <c r="AM200" s="74">
        <f t="shared" si="0"/>
        <v>0</v>
      </c>
      <c r="AN200" s="75">
        <f aca="true" t="shared" si="95" ref="AN200:AN222">ROUND(ORÇAMENTO.CustoUnitario*(1+$AH200),2)</f>
        <v>0</v>
      </c>
    </row>
    <row r="201" spans="1:40" ht="30">
      <c r="A201" t="str">
        <f t="shared" si="78"/>
        <v>S</v>
      </c>
      <c r="B201">
        <f ca="1" t="shared" si="79"/>
        <v>2</v>
      </c>
      <c r="C201" t="str">
        <f ca="1" t="shared" si="80"/>
        <v>S</v>
      </c>
      <c r="D201">
        <f t="shared" si="81"/>
        <v>0</v>
      </c>
      <c r="E201" t="e">
        <f ca="1">IF($C201=1,OFFSET(E201,-1,0)+MAX(1,COUNTIF('[1]QCI'!$A$13:$A$24,OFFSET('[1]ORÇAMENTO'!E202,-1,0))),OFFSET(E201,-1,0))</f>
        <v>#VALUE!</v>
      </c>
      <c r="F201">
        <f ca="1" t="shared" si="82"/>
        <v>2</v>
      </c>
      <c r="G201">
        <f ca="1" t="shared" si="83"/>
        <v>0</v>
      </c>
      <c r="H201">
        <f ca="1" t="shared" si="84"/>
        <v>0</v>
      </c>
      <c r="I201">
        <f ca="1" t="shared" si="85"/>
        <v>0</v>
      </c>
      <c r="J201">
        <f ca="1" t="shared" si="47"/>
        <v>0</v>
      </c>
      <c r="K201">
        <f ca="1">IF(OR($C201="S",$C201=0),0,MATCH(OFFSET($D201,0,$C201)+IF($C201&lt;&gt;1,1,COUNTIF('[1]QCI'!$A$13:$A$24,'[1]ORÇAMENTO'!E202)),OFFSET($D201,1,$C201,ROW($C$223)-ROW($C201)),0))</f>
        <v>0</v>
      </c>
      <c r="L201" s="53">
        <f t="shared" si="86"/>
      </c>
      <c r="M201" s="54" t="s">
        <v>7</v>
      </c>
      <c r="N201" s="55" t="str">
        <f t="shared" si="87"/>
        <v>Serviço</v>
      </c>
      <c r="O201" s="56" t="s">
        <v>425</v>
      </c>
      <c r="P201" s="57" t="s">
        <v>70</v>
      </c>
      <c r="Q201" s="58" t="s">
        <v>215</v>
      </c>
      <c r="R201" s="59" t="s">
        <v>222</v>
      </c>
      <c r="S201" s="60" t="s">
        <v>142</v>
      </c>
      <c r="T201" s="61">
        <f aca="true" t="shared" si="96" ref="T201:T208">AJ201</f>
        <v>1</v>
      </c>
      <c r="U201" s="62"/>
      <c r="V201" s="63" t="s">
        <v>10</v>
      </c>
      <c r="W201" s="61">
        <f t="shared" si="88"/>
        <v>0</v>
      </c>
      <c r="X201" s="64">
        <f aca="true" t="shared" si="97" ref="X201:X222">IF($C201="S",VTOTAL1,IF($C201=0,0,ROUND(SomaAgrup,15-13*$AF$11)))</f>
        <v>0</v>
      </c>
      <c r="Y201" s="65" t="s">
        <v>63</v>
      </c>
      <c r="Z201">
        <f t="shared" si="89"/>
      </c>
      <c r="AA201" s="66">
        <f>IF($C201="S",IF($Z201="CP",$X201,IF($Z201="RA",(($X201)*'[1]QCI'!$AA$3),0)),SomaAgrup)</f>
        <v>0</v>
      </c>
      <c r="AB201" s="67">
        <f t="shared" si="90"/>
        <v>0</v>
      </c>
      <c r="AC201" s="68">
        <f t="shared" si="91"/>
      </c>
      <c r="AD201" s="8">
        <f ca="1">IF(C201&lt;=CRONO.NivelExibicao,MAX($AD$15:OFFSET(AD201,-1,0))+IF($C201&lt;&gt;1,1,MAX(1,COUNTIF('[1]QCI'!$A$13:$A$24,OFFSET($E201,-1,0)))),"")</f>
      </c>
      <c r="AE201" s="18" t="str">
        <f t="shared" si="92"/>
        <v>SINAPI-I  00037412 </v>
      </c>
      <c r="AF201" s="69" t="e">
        <f ca="1" t="shared" si="93"/>
        <v>#VALUE!</v>
      </c>
      <c r="AG201" s="70">
        <v>244.28</v>
      </c>
      <c r="AH201" s="71">
        <f t="shared" si="94"/>
        <v>0.2282</v>
      </c>
      <c r="AJ201" s="72">
        <v>1</v>
      </c>
      <c r="AL201" s="73"/>
      <c r="AM201" s="74">
        <f aca="true" t="shared" si="98" ref="AM201:AM222">$X201</f>
        <v>0</v>
      </c>
      <c r="AN201" s="75">
        <f t="shared" si="95"/>
        <v>0</v>
      </c>
    </row>
    <row r="202" spans="1:40" ht="30">
      <c r="A202" t="str">
        <f t="shared" si="78"/>
        <v>S</v>
      </c>
      <c r="B202">
        <f ca="1" t="shared" si="79"/>
        <v>2</v>
      </c>
      <c r="C202" t="str">
        <f ca="1" t="shared" si="80"/>
        <v>S</v>
      </c>
      <c r="D202">
        <f t="shared" si="81"/>
        <v>0</v>
      </c>
      <c r="E202" t="e">
        <f ca="1">IF($C202=1,OFFSET(E202,-1,0)+MAX(1,COUNTIF('[1]QCI'!$A$13:$A$24,OFFSET('[1]ORÇAMENTO'!E203,-1,0))),OFFSET(E202,-1,0))</f>
        <v>#VALUE!</v>
      </c>
      <c r="F202">
        <f ca="1" t="shared" si="82"/>
        <v>2</v>
      </c>
      <c r="G202">
        <f ca="1" t="shared" si="83"/>
        <v>0</v>
      </c>
      <c r="H202">
        <f ca="1" t="shared" si="84"/>
        <v>0</v>
      </c>
      <c r="I202">
        <f ca="1" t="shared" si="85"/>
        <v>0</v>
      </c>
      <c r="J202">
        <f ca="1" t="shared" si="47"/>
        <v>0</v>
      </c>
      <c r="K202">
        <f ca="1">IF(OR($C202="S",$C202=0),0,MATCH(OFFSET($D202,0,$C202)+IF($C202&lt;&gt;1,1,COUNTIF('[1]QCI'!$A$13:$A$24,'[1]ORÇAMENTO'!E203)),OFFSET($D202,1,$C202,ROW($C$223)-ROW($C202)),0))</f>
        <v>0</v>
      </c>
      <c r="L202" s="53">
        <f t="shared" si="86"/>
      </c>
      <c r="M202" s="54" t="s">
        <v>7</v>
      </c>
      <c r="N202" s="55" t="str">
        <f t="shared" si="87"/>
        <v>Serviço</v>
      </c>
      <c r="O202" s="56" t="s">
        <v>426</v>
      </c>
      <c r="P202" s="57" t="s">
        <v>70</v>
      </c>
      <c r="Q202" s="58" t="s">
        <v>216</v>
      </c>
      <c r="R202" s="59" t="s">
        <v>223</v>
      </c>
      <c r="S202" s="60" t="s">
        <v>142</v>
      </c>
      <c r="T202" s="61">
        <f t="shared" si="96"/>
        <v>1</v>
      </c>
      <c r="U202" s="62"/>
      <c r="V202" s="63" t="s">
        <v>10</v>
      </c>
      <c r="W202" s="61">
        <f t="shared" si="88"/>
        <v>0</v>
      </c>
      <c r="X202" s="64">
        <f t="shared" si="97"/>
        <v>0</v>
      </c>
      <c r="Y202" s="65" t="s">
        <v>63</v>
      </c>
      <c r="Z202">
        <f t="shared" si="89"/>
      </c>
      <c r="AA202" s="66">
        <f>IF($C202="S",IF($Z202="CP",$X202,IF($Z202="RA",(($X202)*'[1]QCI'!$AA$3),0)),SomaAgrup)</f>
        <v>0</v>
      </c>
      <c r="AB202" s="67">
        <f t="shared" si="90"/>
        <v>0</v>
      </c>
      <c r="AC202" s="68">
        <f t="shared" si="91"/>
      </c>
      <c r="AD202" s="8">
        <f ca="1">IF(C202&lt;=CRONO.NivelExibicao,MAX($AD$15:OFFSET(AD202,-1,0))+IF($C202&lt;&gt;1,1,MAX(1,COUNTIF('[1]QCI'!$A$13:$A$24,OFFSET($E202,-1,0)))),"")</f>
      </c>
      <c r="AE202" s="18" t="str">
        <f t="shared" si="92"/>
        <v>SINAPI-I  00010432 </v>
      </c>
      <c r="AF202" s="69" t="e">
        <f ca="1" t="shared" si="93"/>
        <v>#VALUE!</v>
      </c>
      <c r="AG202" s="70">
        <v>311.13</v>
      </c>
      <c r="AH202" s="71">
        <f t="shared" si="94"/>
        <v>0.2282</v>
      </c>
      <c r="AJ202" s="72">
        <v>1</v>
      </c>
      <c r="AL202" s="73"/>
      <c r="AM202" s="74">
        <f t="shared" si="98"/>
        <v>0</v>
      </c>
      <c r="AN202" s="75">
        <f t="shared" si="95"/>
        <v>0</v>
      </c>
    </row>
    <row r="203" spans="1:40" ht="30">
      <c r="A203" t="str">
        <f t="shared" si="78"/>
        <v>S</v>
      </c>
      <c r="B203">
        <f ca="1" t="shared" si="79"/>
        <v>2</v>
      </c>
      <c r="C203" t="str">
        <f ca="1" t="shared" si="80"/>
        <v>S</v>
      </c>
      <c r="D203">
        <f t="shared" si="81"/>
        <v>0</v>
      </c>
      <c r="E203" t="e">
        <f ca="1">IF($C203=1,OFFSET(E203,-1,0)+MAX(1,COUNTIF('[1]QCI'!$A$13:$A$24,OFFSET('[1]ORÇAMENTO'!E204,-1,0))),OFFSET(E203,-1,0))</f>
        <v>#VALUE!</v>
      </c>
      <c r="F203">
        <f ca="1" t="shared" si="82"/>
        <v>2</v>
      </c>
      <c r="G203">
        <f ca="1" t="shared" si="83"/>
        <v>0</v>
      </c>
      <c r="H203">
        <f ca="1" t="shared" si="84"/>
        <v>0</v>
      </c>
      <c r="I203">
        <f ca="1" t="shared" si="85"/>
        <v>0</v>
      </c>
      <c r="J203">
        <f ca="1" t="shared" si="47"/>
        <v>0</v>
      </c>
      <c r="K203">
        <f ca="1">IF(OR($C203="S",$C203=0),0,MATCH(OFFSET($D203,0,$C203)+IF($C203&lt;&gt;1,1,COUNTIF('[1]QCI'!$A$13:$A$24,'[1]ORÇAMENTO'!E204)),OFFSET($D203,1,$C203,ROW($C$223)-ROW($C203)),0))</f>
        <v>0</v>
      </c>
      <c r="L203" s="53">
        <f t="shared" si="86"/>
      </c>
      <c r="M203" s="54" t="s">
        <v>7</v>
      </c>
      <c r="N203" s="55" t="str">
        <f t="shared" si="87"/>
        <v>Serviço</v>
      </c>
      <c r="O203" s="56" t="s">
        <v>427</v>
      </c>
      <c r="P203" s="57" t="s">
        <v>70</v>
      </c>
      <c r="Q203" s="58" t="s">
        <v>217</v>
      </c>
      <c r="R203" s="59" t="s">
        <v>224</v>
      </c>
      <c r="S203" s="60" t="s">
        <v>142</v>
      </c>
      <c r="T203" s="61">
        <f t="shared" si="96"/>
        <v>1</v>
      </c>
      <c r="U203" s="62"/>
      <c r="V203" s="63" t="s">
        <v>10</v>
      </c>
      <c r="W203" s="61">
        <f t="shared" si="88"/>
        <v>0</v>
      </c>
      <c r="X203" s="64">
        <f t="shared" si="97"/>
        <v>0</v>
      </c>
      <c r="Y203" s="65" t="s">
        <v>63</v>
      </c>
      <c r="Z203">
        <f t="shared" si="89"/>
      </c>
      <c r="AA203" s="66">
        <f>IF($C203="S",IF($Z203="CP",$X203,IF($Z203="RA",(($X203)*'[1]QCI'!$AA$3),0)),SomaAgrup)</f>
        <v>0</v>
      </c>
      <c r="AB203" s="67">
        <f t="shared" si="90"/>
        <v>0</v>
      </c>
      <c r="AC203" s="68">
        <f t="shared" si="91"/>
      </c>
      <c r="AD203" s="8">
        <f ca="1">IF(C203&lt;=CRONO.NivelExibicao,MAX($AD$15:OFFSET(AD203,-1,0))+IF($C203&lt;&gt;1,1,MAX(1,COUNTIF('[1]QCI'!$A$13:$A$24,OFFSET($E203,-1,0)))),"")</f>
      </c>
      <c r="AE203" s="18" t="str">
        <f t="shared" si="92"/>
        <v>SINAPI-I  00010420 </v>
      </c>
      <c r="AF203" s="69" t="e">
        <f ca="1" t="shared" si="93"/>
        <v>#VALUE!</v>
      </c>
      <c r="AG203" s="70">
        <v>178.7</v>
      </c>
      <c r="AH203" s="71">
        <f t="shared" si="94"/>
        <v>0.2282</v>
      </c>
      <c r="AJ203" s="72">
        <v>1</v>
      </c>
      <c r="AL203" s="73"/>
      <c r="AM203" s="74">
        <f t="shared" si="98"/>
        <v>0</v>
      </c>
      <c r="AN203" s="75">
        <f t="shared" si="95"/>
        <v>0</v>
      </c>
    </row>
    <row r="204" spans="1:40" ht="15">
      <c r="A204" t="str">
        <f t="shared" si="78"/>
        <v>S</v>
      </c>
      <c r="B204">
        <f ca="1" t="shared" si="79"/>
        <v>2</v>
      </c>
      <c r="C204" t="str">
        <f ca="1" t="shared" si="80"/>
        <v>S</v>
      </c>
      <c r="D204">
        <f t="shared" si="81"/>
        <v>0</v>
      </c>
      <c r="E204" t="e">
        <f ca="1">IF($C204=1,OFFSET(E204,-1,0)+MAX(1,COUNTIF('[1]QCI'!$A$13:$A$24,OFFSET('[1]ORÇAMENTO'!E205,-1,0))),OFFSET(E204,-1,0))</f>
        <v>#VALUE!</v>
      </c>
      <c r="F204">
        <f ca="1" t="shared" si="82"/>
        <v>2</v>
      </c>
      <c r="G204">
        <f ca="1" t="shared" si="83"/>
        <v>0</v>
      </c>
      <c r="H204">
        <f ca="1" t="shared" si="84"/>
        <v>0</v>
      </c>
      <c r="I204">
        <f ca="1" t="shared" si="85"/>
        <v>0</v>
      </c>
      <c r="J204">
        <f ca="1" t="shared" si="47"/>
        <v>0</v>
      </c>
      <c r="K204">
        <f ca="1">IF(OR($C204="S",$C204=0),0,MATCH(OFFSET($D204,0,$C204)+IF($C204&lt;&gt;1,1,COUNTIF('[1]QCI'!$A$13:$A$24,'[1]ORÇAMENTO'!E205)),OFFSET($D204,1,$C204,ROW($C$223)-ROW($C204)),0))</f>
        <v>0</v>
      </c>
      <c r="L204" s="53">
        <f t="shared" si="86"/>
      </c>
      <c r="M204" s="54" t="s">
        <v>7</v>
      </c>
      <c r="N204" s="55" t="str">
        <f t="shared" si="87"/>
        <v>Serviço</v>
      </c>
      <c r="O204" s="56" t="s">
        <v>428</v>
      </c>
      <c r="P204" s="57" t="s">
        <v>70</v>
      </c>
      <c r="Q204" s="58" t="s">
        <v>218</v>
      </c>
      <c r="R204" s="59" t="s">
        <v>225</v>
      </c>
      <c r="S204" s="60" t="s">
        <v>142</v>
      </c>
      <c r="T204" s="61">
        <f t="shared" si="96"/>
        <v>23</v>
      </c>
      <c r="U204" s="62"/>
      <c r="V204" s="63" t="s">
        <v>10</v>
      </c>
      <c r="W204" s="61">
        <f t="shared" si="88"/>
        <v>0</v>
      </c>
      <c r="X204" s="64">
        <f t="shared" si="97"/>
        <v>0</v>
      </c>
      <c r="Y204" s="65" t="s">
        <v>63</v>
      </c>
      <c r="Z204">
        <f t="shared" si="89"/>
      </c>
      <c r="AA204" s="66">
        <f>IF($C204="S",IF($Z204="CP",$X204,IF($Z204="RA",(($X204)*'[1]QCI'!$AA$3),0)),SomaAgrup)</f>
        <v>0</v>
      </c>
      <c r="AB204" s="67">
        <f t="shared" si="90"/>
        <v>0</v>
      </c>
      <c r="AC204" s="68">
        <f t="shared" si="91"/>
      </c>
      <c r="AD204" s="8">
        <f ca="1">IF(C204&lt;=CRONO.NivelExibicao,MAX($AD$15:OFFSET(AD204,-1,0))+IF($C204&lt;&gt;1,1,MAX(1,COUNTIF('[1]QCI'!$A$13:$A$24,OFFSET($E204,-1,0)))),"")</f>
      </c>
      <c r="AE204" s="18" t="str">
        <f t="shared" si="92"/>
        <v>SINAPI-I  00000377 </v>
      </c>
      <c r="AF204" s="69" t="e">
        <f ca="1" t="shared" si="93"/>
        <v>#VALUE!</v>
      </c>
      <c r="AG204" s="70">
        <v>42.21</v>
      </c>
      <c r="AH204" s="71">
        <f t="shared" si="94"/>
        <v>0.2282</v>
      </c>
      <c r="AJ204" s="72">
        <v>23</v>
      </c>
      <c r="AL204" s="73"/>
      <c r="AM204" s="74">
        <f t="shared" si="98"/>
        <v>0</v>
      </c>
      <c r="AN204" s="75">
        <f t="shared" si="95"/>
        <v>0</v>
      </c>
    </row>
    <row r="205" spans="1:40" ht="15">
      <c r="A205" t="str">
        <f t="shared" si="78"/>
        <v>S</v>
      </c>
      <c r="B205">
        <f ca="1" t="shared" si="79"/>
        <v>2</v>
      </c>
      <c r="C205" t="str">
        <f ca="1" t="shared" si="80"/>
        <v>S</v>
      </c>
      <c r="D205">
        <f t="shared" si="81"/>
        <v>0</v>
      </c>
      <c r="E205" t="e">
        <f ca="1">IF($C205=1,OFFSET(E205,-1,0)+MAX(1,COUNTIF('[1]QCI'!$A$13:$A$24,OFFSET('[1]ORÇAMENTO'!E206,-1,0))),OFFSET(E205,-1,0))</f>
        <v>#VALUE!</v>
      </c>
      <c r="F205">
        <f ca="1" t="shared" si="82"/>
        <v>2</v>
      </c>
      <c r="G205">
        <f ca="1" t="shared" si="83"/>
        <v>0</v>
      </c>
      <c r="H205">
        <f ca="1" t="shared" si="84"/>
        <v>0</v>
      </c>
      <c r="I205">
        <f ca="1" t="shared" si="85"/>
        <v>0</v>
      </c>
      <c r="J205">
        <f ca="1" t="shared" si="47"/>
        <v>0</v>
      </c>
      <c r="K205">
        <f ca="1">IF(OR($C205="S",$C205=0),0,MATCH(OFFSET($D205,0,$C205)+IF($C205&lt;&gt;1,1,COUNTIF('[1]QCI'!$A$13:$A$24,'[1]ORÇAMENTO'!E206)),OFFSET($D205,1,$C205,ROW($C$223)-ROW($C205)),0))</f>
        <v>0</v>
      </c>
      <c r="L205" s="53">
        <f t="shared" si="86"/>
      </c>
      <c r="M205" s="54" t="s">
        <v>7</v>
      </c>
      <c r="N205" s="55" t="str">
        <f t="shared" si="87"/>
        <v>Serviço</v>
      </c>
      <c r="O205" s="56" t="s">
        <v>429</v>
      </c>
      <c r="P205" s="57" t="s">
        <v>70</v>
      </c>
      <c r="Q205" s="58" t="s">
        <v>219</v>
      </c>
      <c r="R205" s="59" t="s">
        <v>226</v>
      </c>
      <c r="S205" s="60" t="s">
        <v>142</v>
      </c>
      <c r="T205" s="61">
        <f t="shared" si="96"/>
        <v>23</v>
      </c>
      <c r="U205" s="62"/>
      <c r="V205" s="63" t="s">
        <v>10</v>
      </c>
      <c r="W205" s="61">
        <f t="shared" si="88"/>
        <v>0</v>
      </c>
      <c r="X205" s="64">
        <f t="shared" si="97"/>
        <v>0</v>
      </c>
      <c r="Y205" s="65" t="s">
        <v>63</v>
      </c>
      <c r="Z205">
        <f t="shared" si="89"/>
      </c>
      <c r="AA205" s="66">
        <f>IF($C205="S",IF($Z205="CP",$X205,IF($Z205="RA",(($X205)*'[1]QCI'!$AA$3),0)),SomaAgrup)</f>
        <v>0</v>
      </c>
      <c r="AB205" s="67">
        <f t="shared" si="90"/>
        <v>0</v>
      </c>
      <c r="AC205" s="68">
        <f t="shared" si="91"/>
      </c>
      <c r="AD205" s="8">
        <f ca="1">IF(C205&lt;=CRONO.NivelExibicao,MAX($AD$15:OFFSET(AD205,-1,0))+IF($C205&lt;&gt;1,1,MAX(1,COUNTIF('[1]QCI'!$A$13:$A$24,OFFSET($E205,-1,0)))),"")</f>
      </c>
      <c r="AE205" s="18" t="str">
        <f t="shared" si="92"/>
        <v>SINAPI-I  00037400 </v>
      </c>
      <c r="AF205" s="69" t="e">
        <f ca="1" t="shared" si="93"/>
        <v>#VALUE!</v>
      </c>
      <c r="AG205" s="70">
        <v>61.49</v>
      </c>
      <c r="AH205" s="71">
        <f t="shared" si="94"/>
        <v>0.2282</v>
      </c>
      <c r="AJ205" s="72">
        <v>23</v>
      </c>
      <c r="AL205" s="73"/>
      <c r="AM205" s="74">
        <f t="shared" si="98"/>
        <v>0</v>
      </c>
      <c r="AN205" s="75">
        <f t="shared" si="95"/>
        <v>0</v>
      </c>
    </row>
    <row r="206" spans="1:40" ht="30">
      <c r="A206" t="str">
        <f t="shared" si="78"/>
        <v>S</v>
      </c>
      <c r="B206">
        <f ca="1" t="shared" si="79"/>
        <v>2</v>
      </c>
      <c r="C206" t="str">
        <f ca="1" t="shared" si="80"/>
        <v>S</v>
      </c>
      <c r="D206">
        <f t="shared" si="81"/>
        <v>0</v>
      </c>
      <c r="E206" t="e">
        <f ca="1">IF($C206=1,OFFSET(E206,-1,0)+MAX(1,COUNTIF('[1]QCI'!$A$13:$A$24,OFFSET('[1]ORÇAMENTO'!E207,-1,0))),OFFSET(E206,-1,0))</f>
        <v>#VALUE!</v>
      </c>
      <c r="F206">
        <f ca="1" t="shared" si="82"/>
        <v>2</v>
      </c>
      <c r="G206">
        <f ca="1" t="shared" si="83"/>
        <v>0</v>
      </c>
      <c r="H206">
        <f ca="1" t="shared" si="84"/>
        <v>0</v>
      </c>
      <c r="I206">
        <f ca="1" t="shared" si="85"/>
        <v>0</v>
      </c>
      <c r="J206">
        <f ca="1" t="shared" si="47"/>
        <v>0</v>
      </c>
      <c r="K206">
        <f ca="1">IF(OR($C206="S",$C206=0),0,MATCH(OFFSET($D206,0,$C206)+IF($C206&lt;&gt;1,1,COUNTIF('[1]QCI'!$A$13:$A$24,'[1]ORÇAMENTO'!E207)),OFFSET($D206,1,$C206,ROW($C$223)-ROW($C206)),0))</f>
        <v>0</v>
      </c>
      <c r="L206" s="53">
        <f t="shared" si="86"/>
      </c>
      <c r="M206" s="54" t="s">
        <v>7</v>
      </c>
      <c r="N206" s="55" t="str">
        <f t="shared" si="87"/>
        <v>Serviço</v>
      </c>
      <c r="O206" s="56" t="s">
        <v>430</v>
      </c>
      <c r="P206" s="57" t="s">
        <v>70</v>
      </c>
      <c r="Q206" s="58" t="s">
        <v>220</v>
      </c>
      <c r="R206" s="59" t="s">
        <v>227</v>
      </c>
      <c r="S206" s="60" t="s">
        <v>142</v>
      </c>
      <c r="T206" s="61">
        <f t="shared" si="96"/>
        <v>10</v>
      </c>
      <c r="U206" s="62"/>
      <c r="V206" s="63" t="s">
        <v>10</v>
      </c>
      <c r="W206" s="61">
        <f t="shared" si="88"/>
        <v>0</v>
      </c>
      <c r="X206" s="64">
        <f t="shared" si="97"/>
        <v>0</v>
      </c>
      <c r="Y206" s="65" t="s">
        <v>63</v>
      </c>
      <c r="Z206">
        <f t="shared" si="89"/>
      </c>
      <c r="AA206" s="66">
        <f>IF($C206="S",IF($Z206="CP",$X206,IF($Z206="RA",(($X206)*'[1]QCI'!$AA$3),0)),SomaAgrup)</f>
        <v>0</v>
      </c>
      <c r="AB206" s="67">
        <f t="shared" si="90"/>
        <v>0</v>
      </c>
      <c r="AC206" s="68">
        <f t="shared" si="91"/>
      </c>
      <c r="AD206" s="8">
        <f ca="1">IF(C206&lt;=CRONO.NivelExibicao,MAX($AD$15:OFFSET(AD206,-1,0))+IF($C206&lt;&gt;1,1,MAX(1,COUNTIF('[1]QCI'!$A$13:$A$24,OFFSET($E206,-1,0)))),"")</f>
      </c>
      <c r="AE206" s="18" t="str">
        <f t="shared" si="92"/>
        <v>SINAPI-I  00037401 </v>
      </c>
      <c r="AF206" s="69" t="e">
        <f ca="1" t="shared" si="93"/>
        <v>#VALUE!</v>
      </c>
      <c r="AG206" s="70">
        <v>61.49</v>
      </c>
      <c r="AH206" s="71">
        <f t="shared" si="94"/>
        <v>0.2282</v>
      </c>
      <c r="AJ206" s="72">
        <v>10</v>
      </c>
      <c r="AL206" s="73"/>
      <c r="AM206" s="74">
        <f t="shared" si="98"/>
        <v>0</v>
      </c>
      <c r="AN206" s="75">
        <f t="shared" si="95"/>
        <v>0</v>
      </c>
    </row>
    <row r="207" spans="1:40" ht="30">
      <c r="A207" t="str">
        <f t="shared" si="78"/>
        <v>S</v>
      </c>
      <c r="B207">
        <f ca="1" t="shared" si="79"/>
        <v>2</v>
      </c>
      <c r="C207" t="str">
        <f ca="1" t="shared" si="80"/>
        <v>S</v>
      </c>
      <c r="D207">
        <f t="shared" si="81"/>
        <v>0</v>
      </c>
      <c r="E207" t="e">
        <f ca="1">IF($C207=1,OFFSET(E207,-1,0)+MAX(1,COUNTIF('[1]QCI'!$A$13:$A$24,OFFSET('[1]ORÇAMENTO'!E208,-1,0))),OFFSET(E207,-1,0))</f>
        <v>#VALUE!</v>
      </c>
      <c r="F207">
        <f ca="1" t="shared" si="82"/>
        <v>2</v>
      </c>
      <c r="G207">
        <f ca="1" t="shared" si="83"/>
        <v>0</v>
      </c>
      <c r="H207">
        <f ca="1" t="shared" si="84"/>
        <v>0</v>
      </c>
      <c r="I207">
        <f ca="1" t="shared" si="85"/>
        <v>0</v>
      </c>
      <c r="J207">
        <f ca="1" t="shared" si="47"/>
        <v>0</v>
      </c>
      <c r="K207">
        <f ca="1">IF(OR($C207="S",$C207=0),0,MATCH(OFFSET($D207,0,$C207)+IF($C207&lt;&gt;1,1,COUNTIF('[1]QCI'!$A$13:$A$24,'[1]ORÇAMENTO'!E208)),OFFSET($D207,1,$C207,ROW($C$223)-ROW($C207)),0))</f>
        <v>0</v>
      </c>
      <c r="L207" s="53">
        <f t="shared" si="86"/>
      </c>
      <c r="M207" s="54" t="s">
        <v>7</v>
      </c>
      <c r="N207" s="55" t="str">
        <f t="shared" si="87"/>
        <v>Serviço</v>
      </c>
      <c r="O207" s="56" t="s">
        <v>431</v>
      </c>
      <c r="P207" s="57" t="s">
        <v>62</v>
      </c>
      <c r="Q207" s="58" t="s">
        <v>221</v>
      </c>
      <c r="R207" s="59" t="s">
        <v>228</v>
      </c>
      <c r="S207" s="60" t="s">
        <v>142</v>
      </c>
      <c r="T207" s="61">
        <f t="shared" si="96"/>
        <v>10</v>
      </c>
      <c r="U207" s="62"/>
      <c r="V207" s="63" t="s">
        <v>10</v>
      </c>
      <c r="W207" s="61">
        <f t="shared" si="88"/>
        <v>0</v>
      </c>
      <c r="X207" s="64">
        <f t="shared" si="97"/>
        <v>0</v>
      </c>
      <c r="Y207" s="65" t="s">
        <v>63</v>
      </c>
      <c r="Z207">
        <f t="shared" si="89"/>
      </c>
      <c r="AA207" s="66">
        <f>IF($C207="S",IF($Z207="CP",$X207,IF($Z207="RA",(($X207)*'[1]QCI'!$AA$3),0)),SomaAgrup)</f>
        <v>0</v>
      </c>
      <c r="AB207" s="67">
        <f t="shared" si="90"/>
        <v>0</v>
      </c>
      <c r="AC207" s="68">
        <f t="shared" si="91"/>
      </c>
      <c r="AD207" s="8">
        <f ca="1">IF(C207&lt;=CRONO.NivelExibicao,MAX($AD$15:OFFSET(AD207,-1,0))+IF($C207&lt;&gt;1,1,MAX(1,COUNTIF('[1]QCI'!$A$13:$A$24,OFFSET($E207,-1,0)))),"")</f>
      </c>
      <c r="AE207" s="18" t="str">
        <f t="shared" si="92"/>
        <v>SINAPI  95547 </v>
      </c>
      <c r="AF207" s="69" t="e">
        <f ca="1" t="shared" si="93"/>
        <v>#VALUE!</v>
      </c>
      <c r="AG207" s="70">
        <v>67.65</v>
      </c>
      <c r="AH207" s="71">
        <f t="shared" si="94"/>
        <v>0.2282</v>
      </c>
      <c r="AJ207" s="72">
        <v>10</v>
      </c>
      <c r="AL207" s="73"/>
      <c r="AM207" s="74">
        <f t="shared" si="98"/>
        <v>0</v>
      </c>
      <c r="AN207" s="75">
        <f t="shared" si="95"/>
        <v>0</v>
      </c>
    </row>
    <row r="208" spans="1:40" ht="15">
      <c r="A208" t="str">
        <f t="shared" si="78"/>
        <v>S</v>
      </c>
      <c r="B208">
        <f ca="1" t="shared" si="79"/>
        <v>2</v>
      </c>
      <c r="C208" t="str">
        <f ca="1" t="shared" si="80"/>
        <v>S</v>
      </c>
      <c r="D208">
        <f t="shared" si="81"/>
        <v>0</v>
      </c>
      <c r="E208" t="e">
        <f ca="1">IF($C208=1,OFFSET(E208,-1,0)+MAX(1,COUNTIF('[1]QCI'!$A$13:$A$24,OFFSET('[1]ORÇAMENTO'!E209,-1,0))),OFFSET(E208,-1,0))</f>
        <v>#VALUE!</v>
      </c>
      <c r="F208">
        <f ca="1" t="shared" si="82"/>
        <v>2</v>
      </c>
      <c r="G208">
        <f ca="1" t="shared" si="83"/>
        <v>0</v>
      </c>
      <c r="H208">
        <f ca="1" t="shared" si="84"/>
        <v>0</v>
      </c>
      <c r="I208">
        <f ca="1" t="shared" si="85"/>
        <v>0</v>
      </c>
      <c r="J208">
        <f ca="1" t="shared" si="47"/>
        <v>0</v>
      </c>
      <c r="K208">
        <f ca="1">IF(OR($C208="S",$C208=0),0,MATCH(OFFSET($D208,0,$C208)+IF($C208&lt;&gt;1,1,COUNTIF('[1]QCI'!$A$13:$A$24,'[1]ORÇAMENTO'!E209)),OFFSET($D208,1,$C208,ROW($C$223)-ROW($C208)),0))</f>
        <v>0</v>
      </c>
      <c r="L208" s="53">
        <f t="shared" si="86"/>
      </c>
      <c r="M208" s="54" t="s">
        <v>7</v>
      </c>
      <c r="N208" s="55" t="str">
        <f t="shared" si="87"/>
        <v>Serviço</v>
      </c>
      <c r="O208" s="56" t="s">
        <v>432</v>
      </c>
      <c r="P208" s="57" t="s">
        <v>68</v>
      </c>
      <c r="Q208" s="58" t="s">
        <v>99</v>
      </c>
      <c r="R208" s="59" t="s">
        <v>199</v>
      </c>
      <c r="S208" s="60" t="str">
        <f>REFERENCIA.Unidade</f>
        <v>-</v>
      </c>
      <c r="T208" s="61">
        <f t="shared" si="96"/>
        <v>12.65</v>
      </c>
      <c r="U208" s="62"/>
      <c r="V208" s="63" t="s">
        <v>10</v>
      </c>
      <c r="W208" s="61">
        <f t="shared" si="88"/>
        <v>0</v>
      </c>
      <c r="X208" s="64">
        <f t="shared" si="97"/>
        <v>0</v>
      </c>
      <c r="Y208" s="65" t="s">
        <v>63</v>
      </c>
      <c r="Z208">
        <f t="shared" si="89"/>
      </c>
      <c r="AA208" s="66">
        <f>IF($C208="S",IF($Z208="CP",$X208,IF($Z208="RA",(($X208)*'[1]QCI'!$AA$3),0)),SomaAgrup)</f>
        <v>0</v>
      </c>
      <c r="AB208" s="67">
        <f t="shared" si="90"/>
        <v>0</v>
      </c>
      <c r="AC208" s="68">
        <f t="shared" si="91"/>
      </c>
      <c r="AD208" s="8">
        <f ca="1">IF(C208&lt;=CRONO.NivelExibicao,MAX($AD$15:OFFSET(AD208,-1,0))+IF($C208&lt;&gt;1,1,MAX(1,COUNTIF('[1]QCI'!$A$13:$A$24,OFFSET($E208,-1,0)))),"")</f>
      </c>
      <c r="AE208" s="18" t="str">
        <f t="shared" si="92"/>
        <v>Composição 001</v>
      </c>
      <c r="AF208" s="69" t="e">
        <f ca="1" t="shared" si="93"/>
        <v>#VALUE!</v>
      </c>
      <c r="AG208" s="70">
        <v>8.59</v>
      </c>
      <c r="AH208" s="71">
        <f t="shared" si="94"/>
        <v>0.2282</v>
      </c>
      <c r="AJ208" s="72">
        <v>12.65</v>
      </c>
      <c r="AL208" s="73"/>
      <c r="AM208" s="74">
        <f t="shared" si="98"/>
        <v>0</v>
      </c>
      <c r="AN208" s="75">
        <f t="shared" si="95"/>
        <v>0</v>
      </c>
    </row>
    <row r="209" spans="1:40" ht="15">
      <c r="A209">
        <f t="shared" si="78"/>
        <v>1</v>
      </c>
      <c r="B209">
        <f ca="1" t="shared" si="79"/>
        <v>1</v>
      </c>
      <c r="C209">
        <f ca="1" t="shared" si="80"/>
        <v>1</v>
      </c>
      <c r="D209">
        <f t="shared" si="81"/>
        <v>14</v>
      </c>
      <c r="E209" t="e">
        <f ca="1">IF($C209=1,OFFSET(E209,-1,0)+MAX(1,COUNTIF('[1]QCI'!$A$13:$A$24,OFFSET('[1]ORÇAMENTO'!E210,-1,0))),OFFSET(E209,-1,0))</f>
        <v>#VALUE!</v>
      </c>
      <c r="F209">
        <f ca="1" t="shared" si="82"/>
        <v>0</v>
      </c>
      <c r="G209">
        <f ca="1" t="shared" si="83"/>
        <v>0</v>
      </c>
      <c r="H209">
        <f ca="1" t="shared" si="84"/>
        <v>0</v>
      </c>
      <c r="I209">
        <f ca="1" t="shared" si="85"/>
        <v>0</v>
      </c>
      <c r="J209">
        <f ca="1" t="shared" si="47"/>
        <v>14</v>
      </c>
      <c r="K209" t="e">
        <f ca="1">IF(OR($C209="S",$C209=0),0,MATCH(OFFSET($D209,0,$C209)+IF($C209&lt;&gt;1,1,COUNTIF('[1]QCI'!$A$13:$A$24,'[1]ORÇAMENTO'!E210)),OFFSET($D209,1,$C209,ROW($C$223)-ROW($C209)),0))</f>
        <v>#VALUE!</v>
      </c>
      <c r="L209" s="53" t="str">
        <f t="shared" si="86"/>
        <v>F</v>
      </c>
      <c r="M209" s="54" t="s">
        <v>3</v>
      </c>
      <c r="N209" s="55" t="str">
        <f t="shared" si="87"/>
        <v>Meta</v>
      </c>
      <c r="O209" s="56" t="s">
        <v>433</v>
      </c>
      <c r="P209" s="57" t="s">
        <v>62</v>
      </c>
      <c r="Q209" s="58"/>
      <c r="R209" s="59" t="s">
        <v>116</v>
      </c>
      <c r="S209" s="60" t="str">
        <f>REFERENCIA.Unidade</f>
        <v>-</v>
      </c>
      <c r="T209" s="61" t="e">
        <f ca="1">OFFSET('[1]CÁLCULO'!H$15,ROW($T209)-ROW(T$15),0)</f>
        <v>#VALUE!</v>
      </c>
      <c r="U209" s="62"/>
      <c r="V209" s="63" t="s">
        <v>10</v>
      </c>
      <c r="W209" s="61">
        <f t="shared" si="88"/>
        <v>0</v>
      </c>
      <c r="X209" s="64">
        <f>ROUND(SUM(X210),2)</f>
        <v>0</v>
      </c>
      <c r="Y209" s="65" t="s">
        <v>63</v>
      </c>
      <c r="Z209">
        <f t="shared" si="89"/>
      </c>
      <c r="AA209" s="66">
        <f>IF($C209="S",IF($Z209="CP",$X209,IF($Z209="RA",(($X209)*'[1]QCI'!$AA$3),0)),SomaAgrup)</f>
        <v>0</v>
      </c>
      <c r="AB209" s="67">
        <f t="shared" si="90"/>
        <v>0</v>
      </c>
      <c r="AC209" s="68">
        <f t="shared" si="91"/>
      </c>
      <c r="AD209" s="8" t="e">
        <f ca="1">IF(C209&lt;=CRONO.NivelExibicao,MAX($AD$15:OFFSET(AD209,-1,0))+IF($C209&lt;&gt;1,1,MAX(1,COUNTIF('[1]QCI'!$A$13:$A$24,OFFSET($E209,-1,0)))),"")</f>
        <v>#VALUE!</v>
      </c>
      <c r="AE209" s="18" t="b">
        <f t="shared" si="92"/>
        <v>0</v>
      </c>
      <c r="AF209" s="69" t="e">
        <f ca="1" t="shared" si="93"/>
        <v>#VALUE!</v>
      </c>
      <c r="AG209" s="70"/>
      <c r="AH209" s="71">
        <f t="shared" si="94"/>
        <v>0.2282</v>
      </c>
      <c r="AJ209" s="72"/>
      <c r="AL209" s="73"/>
      <c r="AM209" s="74">
        <f t="shared" si="98"/>
        <v>0</v>
      </c>
      <c r="AN209" s="75">
        <f t="shared" si="95"/>
        <v>0</v>
      </c>
    </row>
    <row r="210" spans="1:40" ht="15">
      <c r="A210" t="str">
        <f t="shared" si="78"/>
        <v>S</v>
      </c>
      <c r="B210">
        <f ca="1" t="shared" si="79"/>
        <v>2</v>
      </c>
      <c r="C210">
        <f ca="1" t="shared" si="80"/>
        <v>2</v>
      </c>
      <c r="D210">
        <f t="shared" si="81"/>
        <v>9</v>
      </c>
      <c r="E210" t="e">
        <f ca="1">IF($C210=1,OFFSET(E210,-1,0)+MAX(1,COUNTIF('[1]QCI'!$A$13:$A$24,OFFSET('[1]ORÇAMENTO'!E211,-1,0))),OFFSET(E210,-1,0))</f>
        <v>#VALUE!</v>
      </c>
      <c r="F210">
        <f ca="1" t="shared" si="82"/>
        <v>1</v>
      </c>
      <c r="G210">
        <f ca="1" t="shared" si="83"/>
        <v>0</v>
      </c>
      <c r="H210">
        <f ca="1" t="shared" si="84"/>
        <v>0</v>
      </c>
      <c r="I210">
        <f ca="1" t="shared" si="85"/>
        <v>0</v>
      </c>
      <c r="J210">
        <f ca="1" t="shared" si="47"/>
        <v>9</v>
      </c>
      <c r="K210" t="e">
        <f ca="1">IF(OR($C210="S",$C210=0),0,MATCH(OFFSET($D210,0,$C210)+IF($C210&lt;&gt;1,1,COUNTIF('[1]QCI'!$A$13:$A$24,'[1]ORÇAMENTO'!E211)),OFFSET($D210,1,$C210,ROW($C$223)-ROW($C210)),0))</f>
        <v>#N/A</v>
      </c>
      <c r="L210" s="53" t="str">
        <f t="shared" si="86"/>
        <v>F</v>
      </c>
      <c r="M210" s="54" t="s">
        <v>7</v>
      </c>
      <c r="N210" s="55" t="str">
        <f t="shared" si="87"/>
        <v>Nível 2</v>
      </c>
      <c r="O210" s="56" t="s">
        <v>434</v>
      </c>
      <c r="P210" s="57" t="s">
        <v>62</v>
      </c>
      <c r="Q210" s="58"/>
      <c r="R210" s="59" t="s">
        <v>449</v>
      </c>
      <c r="S210" s="60" t="str">
        <f>REFERENCIA.Unidade</f>
        <v>-</v>
      </c>
      <c r="T210" s="61" t="e">
        <f ca="1">OFFSET('[1]CÁLCULO'!H$15,ROW($T210)-ROW(T$15),0)</f>
        <v>#VALUE!</v>
      </c>
      <c r="U210" s="62"/>
      <c r="V210" s="63" t="s">
        <v>10</v>
      </c>
      <c r="W210" s="61">
        <f t="shared" si="88"/>
        <v>0</v>
      </c>
      <c r="X210" s="64">
        <f>ROUND(SUM(X211:X218),2)</f>
        <v>0</v>
      </c>
      <c r="Y210" s="65" t="s">
        <v>63</v>
      </c>
      <c r="Z210">
        <f t="shared" si="89"/>
      </c>
      <c r="AA210" s="66">
        <f>IF($C210="S",IF($Z210="CP",$X210,IF($Z210="RA",(($X210)*'[1]QCI'!$AA$3),0)),SomaAgrup)</f>
        <v>0</v>
      </c>
      <c r="AB210" s="67">
        <f t="shared" si="90"/>
        <v>0</v>
      </c>
      <c r="AC210" s="68">
        <f t="shared" si="91"/>
      </c>
      <c r="AD210" s="8" t="e">
        <f ca="1">IF(C210&lt;=CRONO.NivelExibicao,MAX($AD$15:OFFSET(AD210,-1,0))+IF($C210&lt;&gt;1,1,MAX(1,COUNTIF('[1]QCI'!$A$13:$A$24,OFFSET($E210,-1,0)))),"")</f>
        <v>#VALUE!</v>
      </c>
      <c r="AE210" s="18" t="b">
        <f t="shared" si="92"/>
        <v>0</v>
      </c>
      <c r="AF210" s="69" t="e">
        <f ca="1" t="shared" si="93"/>
        <v>#VALUE!</v>
      </c>
      <c r="AG210" s="70"/>
      <c r="AH210" s="71">
        <f t="shared" si="94"/>
        <v>0.2282</v>
      </c>
      <c r="AJ210" s="72"/>
      <c r="AL210" s="73"/>
      <c r="AM210" s="74">
        <f t="shared" si="98"/>
        <v>0</v>
      </c>
      <c r="AN210" s="75">
        <f t="shared" si="95"/>
        <v>0</v>
      </c>
    </row>
    <row r="211" spans="1:40" ht="30">
      <c r="A211" t="str">
        <f t="shared" si="78"/>
        <v>S</v>
      </c>
      <c r="B211">
        <f ca="1">IF(OR(C211="s",C211=0),OFFSET(B211,-1,0),C211)</f>
        <v>2</v>
      </c>
      <c r="C211" t="str">
        <f ca="1">IF(OFFSET(C211,-1,0)="L",1,IF(OFFSET(C211,-1,0)=1,2,IF(OR(A211="s",A211=0),"S",IF(AND(OFFSET(C211,-1,0)=2,A211=4),3,IF(AND(OR(OFFSET(C211,-1,0)="s",OFFSET(C211,-1,0)=0),A211&lt;&gt;"s",A211&gt;OFFSET(B211,-1,0)),OFFSET(B211,-1,0),A211)))))</f>
        <v>S</v>
      </c>
      <c r="D211">
        <f>IF(OR(C211="S",C211=0),0,IF(ISERROR(K211),J211,SMALL(J211:K211,1)))</f>
        <v>0</v>
      </c>
      <c r="E211" t="e">
        <f ca="1">IF($C211=1,OFFSET(E211,-1,0)+MAX(1,COUNTIF('[1]QCI'!$A$13:$A$24,OFFSET('[1]ORÇAMENTO'!E208,-1,0))),OFFSET(E211,-1,0))</f>
        <v>#VALUE!</v>
      </c>
      <c r="F211">
        <f ca="1" t="shared" si="82"/>
        <v>1</v>
      </c>
      <c r="G211">
        <f ca="1" t="shared" si="83"/>
        <v>0</v>
      </c>
      <c r="H211">
        <f ca="1" t="shared" si="84"/>
        <v>0</v>
      </c>
      <c r="I211">
        <f ca="1" t="shared" si="85"/>
        <v>0</v>
      </c>
      <c r="J211">
        <f aca="true" ca="1" t="shared" si="99" ref="J211:J222">IF(OR($C211="S",$C211=0),0,MATCH(0,OFFSET($D211,1,$C211,ROW($C$223)-ROW($C211)),0))</f>
        <v>0</v>
      </c>
      <c r="K211">
        <f ca="1">IF(OR($C211="S",$C211=0),0,MATCH(OFFSET($D211,0,$C211)+IF($C211&lt;&gt;1,1,COUNTIF('[1]QCI'!$A$13:$A$24,'[1]ORÇAMENTO'!E208)),OFFSET($D211,1,$C211,ROW($C$223)-ROW($C211)),0))</f>
        <v>0</v>
      </c>
      <c r="L211" s="53">
        <f t="shared" si="86"/>
      </c>
      <c r="M211" s="54" t="s">
        <v>7</v>
      </c>
      <c r="N211" s="55" t="str">
        <f>CHOOSE(1+LOG(1+2*(C211=1)+4*(C211=2)+8*(C211=3)+16*(C211=4)+32*(C211="S"),2),"","Meta","Nível 2","Nível 3","Nível 4","Serviço")</f>
        <v>Serviço</v>
      </c>
      <c r="O211" s="56" t="s">
        <v>435</v>
      </c>
      <c r="P211" s="57" t="s">
        <v>62</v>
      </c>
      <c r="Q211" s="58" t="s">
        <v>237</v>
      </c>
      <c r="R211" s="59" t="s">
        <v>229</v>
      </c>
      <c r="S211" s="60" t="s">
        <v>141</v>
      </c>
      <c r="T211" s="61">
        <f>AJ211</f>
        <v>3500</v>
      </c>
      <c r="U211" s="62"/>
      <c r="V211" s="63" t="s">
        <v>10</v>
      </c>
      <c r="W211" s="61">
        <f t="shared" si="88"/>
        <v>0</v>
      </c>
      <c r="X211" s="64">
        <f t="shared" si="97"/>
        <v>0</v>
      </c>
      <c r="Y211" s="65" t="s">
        <v>63</v>
      </c>
      <c r="Z211">
        <f t="shared" si="89"/>
      </c>
      <c r="AA211" s="66">
        <f>IF($C211="S",IF($Z211="CP",$X211,IF($Z211="RA",(($X211)*'[1]QCI'!$AA$3),0)),SomaAgrup)</f>
        <v>0</v>
      </c>
      <c r="AB211" s="67">
        <f t="shared" si="90"/>
        <v>0</v>
      </c>
      <c r="AC211" s="68">
        <f t="shared" si="91"/>
      </c>
      <c r="AD211" s="8">
        <f ca="1">IF(C211&lt;=CRONO.NivelExibicao,MAX($AD$15:OFFSET(AD211,-1,0))+IF($C211&lt;&gt;1,1,MAX(1,COUNTIF('[1]QCI'!$A$13:$A$24,OFFSET($E211,-1,0)))),"")</f>
      </c>
      <c r="AE211" s="18" t="str">
        <f t="shared" si="92"/>
        <v>SINAPI  88485 </v>
      </c>
      <c r="AF211" s="69" t="e">
        <f ca="1" t="shared" si="93"/>
        <v>#VALUE!</v>
      </c>
      <c r="AG211" s="70">
        <v>2.38</v>
      </c>
      <c r="AH211" s="71">
        <f t="shared" si="94"/>
        <v>0.2282</v>
      </c>
      <c r="AJ211" s="72">
        <v>3500</v>
      </c>
      <c r="AL211" s="73"/>
      <c r="AM211" s="74">
        <f t="shared" si="98"/>
        <v>0</v>
      </c>
      <c r="AN211" s="75">
        <f t="shared" si="95"/>
        <v>0</v>
      </c>
    </row>
    <row r="212" spans="1:40" ht="30">
      <c r="A212" t="str">
        <f t="shared" si="78"/>
        <v>S</v>
      </c>
      <c r="B212">
        <f ca="1">IF(OR(C212="s",C212=0),OFFSET(B212,-1,0),C212)</f>
        <v>2</v>
      </c>
      <c r="C212" t="str">
        <f ca="1">IF(OFFSET(C212,-1,0)="L",1,IF(OFFSET(C212,-1,0)=1,2,IF(OR(A212="s",A212=0),"S",IF(AND(OFFSET(C212,-1,0)=2,A212=4),3,IF(AND(OR(OFFSET(C212,-1,0)="s",OFFSET(C212,-1,0)=0),A212&lt;&gt;"s",A212&gt;OFFSET(B212,-1,0)),OFFSET(B212,-1,0),A212)))))</f>
        <v>S</v>
      </c>
      <c r="D212">
        <f>IF(OR(C212="S",C212=0),0,IF(ISERROR(K212),J212,SMALL(J212:K212,1)))</f>
        <v>0</v>
      </c>
      <c r="E212" t="e">
        <f ca="1">IF($C212=1,OFFSET(E212,-1,0)+MAX(1,COUNTIF('[1]QCI'!$A$13:$A$24,OFFSET('[1]ORÇAMENTO'!E209,-1,0))),OFFSET(E212,-1,0))</f>
        <v>#VALUE!</v>
      </c>
      <c r="F212">
        <f ca="1" t="shared" si="82"/>
        <v>1</v>
      </c>
      <c r="G212">
        <f ca="1" t="shared" si="83"/>
        <v>0</v>
      </c>
      <c r="H212">
        <f ca="1" t="shared" si="84"/>
        <v>0</v>
      </c>
      <c r="I212">
        <f ca="1" t="shared" si="85"/>
        <v>0</v>
      </c>
      <c r="J212">
        <f ca="1" t="shared" si="99"/>
        <v>0</v>
      </c>
      <c r="K212">
        <f ca="1">IF(OR($C212="S",$C212=0),0,MATCH(OFFSET($D212,0,$C212)+IF($C212&lt;&gt;1,1,COUNTIF('[1]QCI'!$A$13:$A$24,'[1]ORÇAMENTO'!E209)),OFFSET($D212,1,$C212,ROW($C$223)-ROW($C212)),0))</f>
        <v>0</v>
      </c>
      <c r="L212" s="53">
        <f t="shared" si="86"/>
      </c>
      <c r="M212" s="54" t="s">
        <v>7</v>
      </c>
      <c r="N212" s="55" t="str">
        <f>CHOOSE(1+LOG(1+2*(C212=1)+4*(C212=2)+8*(C212=3)+16*(C212=4)+32*(C212="S"),2),"","Meta","Nível 2","Nível 3","Nível 4","Serviço")</f>
        <v>Serviço</v>
      </c>
      <c r="O212" s="56" t="s">
        <v>436</v>
      </c>
      <c r="P212" s="57" t="s">
        <v>62</v>
      </c>
      <c r="Q212" s="58" t="s">
        <v>238</v>
      </c>
      <c r="R212" s="59" t="s">
        <v>230</v>
      </c>
      <c r="S212" s="60" t="s">
        <v>141</v>
      </c>
      <c r="T212" s="61">
        <f>AJ212</f>
        <v>3500</v>
      </c>
      <c r="U212" s="62"/>
      <c r="V212" s="63" t="s">
        <v>10</v>
      </c>
      <c r="W212" s="61">
        <f t="shared" si="88"/>
        <v>0</v>
      </c>
      <c r="X212" s="64">
        <f t="shared" si="97"/>
        <v>0</v>
      </c>
      <c r="Y212" s="65" t="s">
        <v>63</v>
      </c>
      <c r="Z212">
        <f t="shared" si="89"/>
      </c>
      <c r="AA212" s="66">
        <f>IF($C212="S",IF($Z212="CP",$X212,IF($Z212="RA",(($X212)*'[1]QCI'!$AA$3),0)),SomaAgrup)</f>
        <v>0</v>
      </c>
      <c r="AB212" s="67">
        <f t="shared" si="90"/>
        <v>0</v>
      </c>
      <c r="AC212" s="68">
        <f t="shared" si="91"/>
      </c>
      <c r="AD212" s="8">
        <f ca="1">IF(C212&lt;=CRONO.NivelExibicao,MAX($AD$15:OFFSET(AD212,-1,0))+IF($C212&lt;&gt;1,1,MAX(1,COUNTIF('[1]QCI'!$A$13:$A$24,OFFSET($E212,-1,0)))),"")</f>
      </c>
      <c r="AE212" s="18" t="str">
        <f t="shared" si="92"/>
        <v>SINAPI  88489 </v>
      </c>
      <c r="AF212" s="69" t="e">
        <f ca="1" t="shared" si="93"/>
        <v>#VALUE!</v>
      </c>
      <c r="AG212" s="70">
        <v>13.5</v>
      </c>
      <c r="AH212" s="71">
        <f t="shared" si="94"/>
        <v>0.2282</v>
      </c>
      <c r="AJ212" s="72">
        <v>3500</v>
      </c>
      <c r="AL212" s="73"/>
      <c r="AM212" s="74">
        <f t="shared" si="98"/>
        <v>0</v>
      </c>
      <c r="AN212" s="75">
        <f t="shared" si="95"/>
        <v>0</v>
      </c>
    </row>
    <row r="213" spans="1:40" ht="30">
      <c r="A213" t="str">
        <f t="shared" si="78"/>
        <v>S</v>
      </c>
      <c r="B213">
        <f ca="1">IF(OR(C213="s",C213=0),OFFSET(B213,-1,0),C213)</f>
        <v>2</v>
      </c>
      <c r="C213" t="str">
        <f ca="1">IF(OFFSET(C213,-1,0)="L",1,IF(OFFSET(C213,-1,0)=1,2,IF(OR(A213="s",A213=0),"S",IF(AND(OFFSET(C213,-1,0)=2,A213=4),3,IF(AND(OR(OFFSET(C213,-1,0)="s",OFFSET(C213,-1,0)=0),A213&lt;&gt;"s",A213&gt;OFFSET(B213,-1,0)),OFFSET(B213,-1,0),A213)))))</f>
        <v>S</v>
      </c>
      <c r="D213">
        <f>IF(OR(C213="S",C213=0),0,IF(ISERROR(K213),J213,SMALL(J213:K213,1)))</f>
        <v>0</v>
      </c>
      <c r="E213" t="e">
        <f ca="1">IF($C213=1,OFFSET(E213,-1,0)+MAX(1,COUNTIF('[1]QCI'!$A$13:$A$24,OFFSET('[1]ORÇAMENTO'!E210,-1,0))),OFFSET(E213,-1,0))</f>
        <v>#VALUE!</v>
      </c>
      <c r="F213">
        <f ca="1" t="shared" si="82"/>
        <v>1</v>
      </c>
      <c r="G213">
        <f ca="1" t="shared" si="83"/>
        <v>0</v>
      </c>
      <c r="H213">
        <f ca="1" t="shared" si="84"/>
        <v>0</v>
      </c>
      <c r="I213">
        <f ca="1" t="shared" si="85"/>
        <v>0</v>
      </c>
      <c r="J213">
        <f ca="1" t="shared" si="99"/>
        <v>0</v>
      </c>
      <c r="K213">
        <f ca="1">IF(OR($C213="S",$C213=0),0,MATCH(OFFSET($D213,0,$C213)+IF($C213&lt;&gt;1,1,COUNTIF('[1]QCI'!$A$13:$A$24,'[1]ORÇAMENTO'!E210)),OFFSET($D213,1,$C213,ROW($C$223)-ROW($C213)),0))</f>
        <v>0</v>
      </c>
      <c r="L213" s="53">
        <f t="shared" si="86"/>
      </c>
      <c r="M213" s="54" t="s">
        <v>7</v>
      </c>
      <c r="N213" s="55" t="str">
        <f>CHOOSE(1+LOG(1+2*(C213=1)+4*(C213=2)+8*(C213=3)+16*(C213=4)+32*(C213="S"),2),"","Meta","Nível 2","Nível 3","Nível 4","Serviço")</f>
        <v>Serviço</v>
      </c>
      <c r="O213" s="56" t="s">
        <v>437</v>
      </c>
      <c r="P213" s="57" t="s">
        <v>62</v>
      </c>
      <c r="Q213" s="58" t="s">
        <v>239</v>
      </c>
      <c r="R213" s="59" t="s">
        <v>231</v>
      </c>
      <c r="S213" s="60" t="s">
        <v>141</v>
      </c>
      <c r="T213" s="61">
        <f>AJ213</f>
        <v>1200</v>
      </c>
      <c r="U213" s="62"/>
      <c r="V213" s="63" t="s">
        <v>10</v>
      </c>
      <c r="W213" s="61">
        <f t="shared" si="88"/>
        <v>0</v>
      </c>
      <c r="X213" s="64">
        <f t="shared" si="97"/>
        <v>0</v>
      </c>
      <c r="Y213" s="65" t="s">
        <v>63</v>
      </c>
      <c r="Z213">
        <f t="shared" si="89"/>
      </c>
      <c r="AA213" s="66">
        <f>IF($C213="S",IF($Z213="CP",$X213,IF($Z213="RA",(($X213)*'[1]QCI'!$AA$3),0)),SomaAgrup)</f>
        <v>0</v>
      </c>
      <c r="AB213" s="67">
        <f t="shared" si="90"/>
        <v>0</v>
      </c>
      <c r="AC213" s="68">
        <f t="shared" si="91"/>
      </c>
      <c r="AD213" s="8">
        <f ca="1">IF(C213&lt;=CRONO.NivelExibicao,MAX($AD$15:OFFSET(AD213,-1,0))+IF($C213&lt;&gt;1,1,MAX(1,COUNTIF('[1]QCI'!$A$13:$A$24,OFFSET($E213,-1,0)))),"")</f>
      </c>
      <c r="AE213" s="18" t="str">
        <f t="shared" si="92"/>
        <v>SINAPI  102491 </v>
      </c>
      <c r="AF213" s="69" t="e">
        <f ca="1" t="shared" si="93"/>
        <v>#VALUE!</v>
      </c>
      <c r="AG213" s="70">
        <v>16.64</v>
      </c>
      <c r="AH213" s="71">
        <f t="shared" si="94"/>
        <v>0.2282</v>
      </c>
      <c r="AJ213" s="72">
        <v>1200</v>
      </c>
      <c r="AL213" s="73"/>
      <c r="AM213" s="74">
        <f t="shared" si="98"/>
        <v>0</v>
      </c>
      <c r="AN213" s="75">
        <f t="shared" si="95"/>
        <v>0</v>
      </c>
    </row>
    <row r="214" spans="1:40" ht="45">
      <c r="A214" t="str">
        <f t="shared" si="78"/>
        <v>S</v>
      </c>
      <c r="B214">
        <f ca="1">IF(OR(C214="s",C214=0),OFFSET(B214,-1,0),C214)</f>
        <v>2</v>
      </c>
      <c r="C214" t="str">
        <f ca="1">IF(OFFSET(C214,-1,0)="L",1,IF(OFFSET(C214,-1,0)=1,2,IF(OR(A214="s",A214=0),"S",IF(AND(OFFSET(C214,-1,0)=2,A214=4),3,IF(AND(OR(OFFSET(C214,-1,0)="s",OFFSET(C214,-1,0)=0),A214&lt;&gt;"s",A214&gt;OFFSET(B214,-1,0)),OFFSET(B214,-1,0),A214)))))</f>
        <v>S</v>
      </c>
      <c r="D214">
        <f>IF(OR(C214="S",C214=0),0,IF(ISERROR(K214),J214,SMALL(J214:K214,1)))</f>
        <v>0</v>
      </c>
      <c r="E214" t="e">
        <f ca="1">IF($C214=1,OFFSET(E214,-1,0)+MAX(1,COUNTIF('[1]QCI'!$A$13:$A$24,OFFSET('[1]ORÇAMENTO'!E211,-1,0))),OFFSET(E214,-1,0))</f>
        <v>#VALUE!</v>
      </c>
      <c r="F214">
        <f ca="1" t="shared" si="82"/>
        <v>1</v>
      </c>
      <c r="G214">
        <f ca="1" t="shared" si="83"/>
        <v>0</v>
      </c>
      <c r="H214">
        <f ca="1" t="shared" si="84"/>
        <v>0</v>
      </c>
      <c r="I214">
        <f ca="1" t="shared" si="85"/>
        <v>0</v>
      </c>
      <c r="J214">
        <f ca="1" t="shared" si="99"/>
        <v>0</v>
      </c>
      <c r="K214">
        <f ca="1">IF(OR($C214="S",$C214=0),0,MATCH(OFFSET($D214,0,$C214)+IF($C214&lt;&gt;1,1,COUNTIF('[1]QCI'!$A$13:$A$24,'[1]ORÇAMENTO'!E211)),OFFSET($D214,1,$C214,ROW($C$223)-ROW($C214)),0))</f>
        <v>0</v>
      </c>
      <c r="L214" s="53">
        <f t="shared" si="86"/>
      </c>
      <c r="M214" s="54" t="s">
        <v>7</v>
      </c>
      <c r="N214" s="55" t="str">
        <f>CHOOSE(1+LOG(1+2*(C214=1)+4*(C214=2)+8*(C214=3)+16*(C214=4)+32*(C214="S"),2),"","Meta","Nível 2","Nível 3","Nível 4","Serviço")</f>
        <v>Serviço</v>
      </c>
      <c r="O214" s="56" t="s">
        <v>438</v>
      </c>
      <c r="P214" s="57" t="s">
        <v>62</v>
      </c>
      <c r="Q214" s="58" t="s">
        <v>240</v>
      </c>
      <c r="R214" s="59" t="s">
        <v>232</v>
      </c>
      <c r="S214" s="60" t="s">
        <v>141</v>
      </c>
      <c r="T214" s="61">
        <f>AJ214</f>
        <v>700</v>
      </c>
      <c r="U214" s="62"/>
      <c r="V214" s="63" t="s">
        <v>10</v>
      </c>
      <c r="W214" s="61">
        <f t="shared" si="88"/>
        <v>0</v>
      </c>
      <c r="X214" s="64">
        <f t="shared" si="97"/>
        <v>0</v>
      </c>
      <c r="Y214" s="65" t="s">
        <v>63</v>
      </c>
      <c r="Z214">
        <f t="shared" si="89"/>
      </c>
      <c r="AA214" s="66">
        <f>IF($C214="S",IF($Z214="CP",$X214,IF($Z214="RA",(($X214)*'[1]QCI'!$AA$3),0)),SomaAgrup)</f>
        <v>0</v>
      </c>
      <c r="AB214" s="67">
        <f t="shared" si="90"/>
        <v>0</v>
      </c>
      <c r="AC214" s="68">
        <f t="shared" si="91"/>
      </c>
      <c r="AD214" s="8">
        <f ca="1">IF(C214&lt;=CRONO.NivelExibicao,MAX($AD$15:OFFSET(AD214,-1,0))+IF($C214&lt;&gt;1,1,MAX(1,COUNTIF('[1]QCI'!$A$13:$A$24,OFFSET($E214,-1,0)))),"")</f>
      </c>
      <c r="AE214" s="18" t="str">
        <f t="shared" si="92"/>
        <v>SINAPI  100741 </v>
      </c>
      <c r="AF214" s="69" t="e">
        <f ca="1" t="shared" si="93"/>
        <v>#VALUE!</v>
      </c>
      <c r="AG214" s="70">
        <v>20.3</v>
      </c>
      <c r="AH214" s="71">
        <f t="shared" si="94"/>
        <v>0.2282</v>
      </c>
      <c r="AJ214" s="72">
        <v>700</v>
      </c>
      <c r="AL214" s="73"/>
      <c r="AM214" s="74">
        <f t="shared" si="98"/>
        <v>0</v>
      </c>
      <c r="AN214" s="75">
        <f t="shared" si="95"/>
        <v>0</v>
      </c>
    </row>
    <row r="215" spans="1:40" ht="30">
      <c r="A215" t="str">
        <f t="shared" si="78"/>
        <v>S</v>
      </c>
      <c r="B215">
        <f ca="1" t="shared" si="79"/>
        <v>2</v>
      </c>
      <c r="C215" t="str">
        <f ca="1" t="shared" si="80"/>
        <v>S</v>
      </c>
      <c r="D215">
        <f t="shared" si="81"/>
        <v>0</v>
      </c>
      <c r="E215" t="e">
        <f ca="1">IF($C215=1,OFFSET(E215,-1,0)+MAX(1,COUNTIF('[1]QCI'!$A$13:$A$24,OFFSET('[1]ORÇAMENTO'!E212,-1,0))),OFFSET(E215,-1,0))</f>
        <v>#VALUE!</v>
      </c>
      <c r="F215">
        <f ca="1" t="shared" si="82"/>
        <v>1</v>
      </c>
      <c r="G215">
        <f ca="1" t="shared" si="83"/>
        <v>0</v>
      </c>
      <c r="H215">
        <f ca="1" t="shared" si="84"/>
        <v>0</v>
      </c>
      <c r="I215">
        <f ca="1" t="shared" si="85"/>
        <v>0</v>
      </c>
      <c r="J215">
        <f ca="1" t="shared" si="99"/>
        <v>0</v>
      </c>
      <c r="K215">
        <f ca="1">IF(OR($C215="S",$C215=0),0,MATCH(OFFSET($D215,0,$C215)+IF($C215&lt;&gt;1,1,COUNTIF('[1]QCI'!$A$13:$A$24,'[1]ORÇAMENTO'!E212)),OFFSET($D215,1,$C215,ROW($C$223)-ROW($C215)),0))</f>
        <v>0</v>
      </c>
      <c r="L215" s="53">
        <f t="shared" si="86"/>
      </c>
      <c r="M215" s="54" t="s">
        <v>7</v>
      </c>
      <c r="N215" s="55" t="str">
        <f t="shared" si="87"/>
        <v>Serviço</v>
      </c>
      <c r="O215" s="56" t="s">
        <v>439</v>
      </c>
      <c r="P215" s="57" t="s">
        <v>62</v>
      </c>
      <c r="Q215" s="58" t="s">
        <v>241</v>
      </c>
      <c r="R215" s="59" t="s">
        <v>233</v>
      </c>
      <c r="S215" s="60" t="s">
        <v>141</v>
      </c>
      <c r="T215" s="61">
        <f>AJ215</f>
        <v>150</v>
      </c>
      <c r="U215" s="62"/>
      <c r="V215" s="63" t="s">
        <v>10</v>
      </c>
      <c r="W215" s="61">
        <f t="shared" si="88"/>
        <v>0</v>
      </c>
      <c r="X215" s="64">
        <f t="shared" si="97"/>
        <v>0</v>
      </c>
      <c r="Y215" s="65" t="s">
        <v>63</v>
      </c>
      <c r="Z215">
        <f t="shared" si="89"/>
      </c>
      <c r="AA215" s="66">
        <f>IF($C215="S",IF($Z215="CP",$X215,IF($Z215="RA",(($X215)*'[1]QCI'!$AA$3),0)),SomaAgrup)</f>
        <v>0</v>
      </c>
      <c r="AB215" s="67">
        <f t="shared" si="90"/>
        <v>0</v>
      </c>
      <c r="AC215" s="68">
        <f t="shared" si="91"/>
      </c>
      <c r="AD215" s="8">
        <f ca="1">IF(C215&lt;=CRONO.NivelExibicao,MAX($AD$15:OFFSET(AD215,-1,0))+IF($C215&lt;&gt;1,1,MAX(1,COUNTIF('[1]QCI'!$A$13:$A$24,OFFSET($E215,-1,0)))),"")</f>
      </c>
      <c r="AE215" s="18" t="str">
        <f t="shared" si="92"/>
        <v>SINAPI  88497 </v>
      </c>
      <c r="AF215" s="69" t="e">
        <f ca="1" t="shared" si="93"/>
        <v>#VALUE!</v>
      </c>
      <c r="AG215" s="70">
        <v>14.99</v>
      </c>
      <c r="AH215" s="71">
        <f t="shared" si="94"/>
        <v>0.2282</v>
      </c>
      <c r="AJ215" s="72">
        <v>150</v>
      </c>
      <c r="AL215" s="73"/>
      <c r="AM215" s="74">
        <f t="shared" si="98"/>
        <v>0</v>
      </c>
      <c r="AN215" s="75">
        <f t="shared" si="95"/>
        <v>0</v>
      </c>
    </row>
    <row r="216" spans="1:40" ht="30">
      <c r="A216" t="str">
        <f t="shared" si="78"/>
        <v>S</v>
      </c>
      <c r="B216">
        <f ca="1" t="shared" si="79"/>
        <v>2</v>
      </c>
      <c r="C216" t="str">
        <f ca="1" t="shared" si="80"/>
        <v>S</v>
      </c>
      <c r="D216">
        <f t="shared" si="81"/>
        <v>0</v>
      </c>
      <c r="E216" t="e">
        <f ca="1">IF($C216=1,OFFSET(E216,-1,0)+MAX(1,COUNTIF('[1]QCI'!$A$13:$A$24,OFFSET('[1]ORÇAMENTO'!E213,-1,0))),OFFSET(E216,-1,0))</f>
        <v>#VALUE!</v>
      </c>
      <c r="F216">
        <f ca="1" t="shared" si="82"/>
        <v>1</v>
      </c>
      <c r="G216">
        <f ca="1" t="shared" si="83"/>
        <v>0</v>
      </c>
      <c r="H216">
        <f ca="1" t="shared" si="84"/>
        <v>0</v>
      </c>
      <c r="I216">
        <f ca="1" t="shared" si="85"/>
        <v>0</v>
      </c>
      <c r="J216">
        <f ca="1" t="shared" si="99"/>
        <v>0</v>
      </c>
      <c r="K216">
        <f ca="1">IF(OR($C216="S",$C216=0),0,MATCH(OFFSET($D216,0,$C216)+IF($C216&lt;&gt;1,1,COUNTIF('[1]QCI'!$A$13:$A$24,'[1]ORÇAMENTO'!E213)),OFFSET($D216,1,$C216,ROW($C$223)-ROW($C216)),0))</f>
        <v>0</v>
      </c>
      <c r="L216" s="53">
        <f t="shared" si="86"/>
      </c>
      <c r="M216" s="54" t="s">
        <v>7</v>
      </c>
      <c r="N216" s="55" t="str">
        <f t="shared" si="87"/>
        <v>Serviço</v>
      </c>
      <c r="O216" s="56" t="s">
        <v>440</v>
      </c>
      <c r="P216" s="57" t="s">
        <v>62</v>
      </c>
      <c r="Q216" s="58" t="s">
        <v>242</v>
      </c>
      <c r="R216" s="59" t="s">
        <v>234</v>
      </c>
      <c r="S216" s="60" t="s">
        <v>141</v>
      </c>
      <c r="T216" s="61">
        <f>AJ216</f>
        <v>150</v>
      </c>
      <c r="U216" s="62"/>
      <c r="V216" s="63" t="s">
        <v>10</v>
      </c>
      <c r="W216" s="61">
        <f t="shared" si="88"/>
        <v>0</v>
      </c>
      <c r="X216" s="64">
        <f t="shared" si="97"/>
        <v>0</v>
      </c>
      <c r="Y216" s="65" t="s">
        <v>63</v>
      </c>
      <c r="Z216">
        <f t="shared" si="89"/>
      </c>
      <c r="AA216" s="66">
        <f>IF($C216="S",IF($Z216="CP",$X216,IF($Z216="RA",(($X216)*'[1]QCI'!$AA$3),0)),SomaAgrup)</f>
        <v>0</v>
      </c>
      <c r="AB216" s="67">
        <f t="shared" si="90"/>
        <v>0</v>
      </c>
      <c r="AC216" s="68">
        <f t="shared" si="91"/>
      </c>
      <c r="AD216" s="8">
        <f ca="1">IF(C216&lt;=CRONO.NivelExibicao,MAX($AD$15:OFFSET(AD216,-1,0))+IF($C216&lt;&gt;1,1,MAX(1,COUNTIF('[1]QCI'!$A$13:$A$24,OFFSET($E216,-1,0)))),"")</f>
      </c>
      <c r="AE216" s="18" t="str">
        <f t="shared" si="92"/>
        <v>SINAPI  96130 </v>
      </c>
      <c r="AF216" s="69" t="e">
        <f ca="1" t="shared" si="93"/>
        <v>#VALUE!</v>
      </c>
      <c r="AG216" s="70">
        <v>18.69</v>
      </c>
      <c r="AH216" s="71">
        <f t="shared" si="94"/>
        <v>0.2282</v>
      </c>
      <c r="AJ216" s="72">
        <v>150</v>
      </c>
      <c r="AL216" s="73"/>
      <c r="AM216" s="74">
        <f t="shared" si="98"/>
        <v>0</v>
      </c>
      <c r="AN216" s="75">
        <f t="shared" si="95"/>
        <v>0</v>
      </c>
    </row>
    <row r="217" spans="1:40" ht="30">
      <c r="A217" t="str">
        <f t="shared" si="78"/>
        <v>S</v>
      </c>
      <c r="B217">
        <f ca="1">IF(OR(C217="s",C217=0),OFFSET(B217,-1,0),C217)</f>
        <v>2</v>
      </c>
      <c r="C217" t="str">
        <f ca="1">IF(OFFSET(C217,-1,0)="L",1,IF(OFFSET(C217,-1,0)=1,2,IF(OR(A217="s",A217=0),"S",IF(AND(OFFSET(C217,-1,0)=2,A217=4),3,IF(AND(OR(OFFSET(C217,-1,0)="s",OFFSET(C217,-1,0)=0),A217&lt;&gt;"s",A217&gt;OFFSET(B217,-1,0)),OFFSET(B217,-1,0),A217)))))</f>
        <v>S</v>
      </c>
      <c r="D217">
        <f>IF(OR(C217="S",C217=0),0,IF(ISERROR(K217),J217,SMALL(J217:K217,1)))</f>
        <v>0</v>
      </c>
      <c r="E217" t="e">
        <f ca="1">IF($C217=1,OFFSET(E217,-1,0)+MAX(1,COUNTIF('[1]QCI'!$A$13:$A$24,OFFSET('[1]ORÇAMENTO'!E214,-1,0))),OFFSET(E217,-1,0))</f>
        <v>#VALUE!</v>
      </c>
      <c r="F217">
        <f ca="1" t="shared" si="82"/>
        <v>1</v>
      </c>
      <c r="G217">
        <f ca="1" t="shared" si="83"/>
        <v>0</v>
      </c>
      <c r="H217">
        <f ca="1" t="shared" si="84"/>
        <v>0</v>
      </c>
      <c r="I217">
        <f ca="1" t="shared" si="85"/>
        <v>0</v>
      </c>
      <c r="J217">
        <f ca="1" t="shared" si="99"/>
        <v>0</v>
      </c>
      <c r="K217">
        <f ca="1">IF(OR($C217="S",$C217=0),0,MATCH(OFFSET($D217,0,$C217)+IF($C217&lt;&gt;1,1,COUNTIF('[1]QCI'!$A$13:$A$24,'[1]ORÇAMENTO'!E214)),OFFSET($D217,1,$C217,ROW($C$223)-ROW($C217)),0))</f>
        <v>0</v>
      </c>
      <c r="L217" s="53">
        <f t="shared" si="86"/>
      </c>
      <c r="M217" s="54" t="s">
        <v>7</v>
      </c>
      <c r="N217" s="55" t="str">
        <f>CHOOSE(1+LOG(1+2*(C217=1)+4*(C217=2)+8*(C217=3)+16*(C217=4)+32*(C217="S"),2),"","Meta","Nível 2","Nível 3","Nível 4","Serviço")</f>
        <v>Serviço</v>
      </c>
      <c r="O217" s="56" t="s">
        <v>441</v>
      </c>
      <c r="P217" s="57" t="s">
        <v>62</v>
      </c>
      <c r="Q217" s="58" t="s">
        <v>243</v>
      </c>
      <c r="R217" s="59" t="s">
        <v>235</v>
      </c>
      <c r="S217" s="60" t="s">
        <v>141</v>
      </c>
      <c r="T217" s="61">
        <f>AJ217</f>
        <v>200</v>
      </c>
      <c r="U217" s="62"/>
      <c r="V217" s="63" t="s">
        <v>10</v>
      </c>
      <c r="W217" s="61">
        <f t="shared" si="88"/>
        <v>0</v>
      </c>
      <c r="X217" s="64">
        <f t="shared" si="97"/>
        <v>0</v>
      </c>
      <c r="Y217" s="65" t="s">
        <v>63</v>
      </c>
      <c r="Z217">
        <f t="shared" si="89"/>
      </c>
      <c r="AA217" s="66">
        <f>IF($C217="S",IF($Z217="CP",$X217,IF($Z217="RA",(($X217)*'[1]QCI'!$AA$3),0)),SomaAgrup)</f>
        <v>0</v>
      </c>
      <c r="AB217" s="67">
        <f t="shared" si="90"/>
        <v>0</v>
      </c>
      <c r="AC217" s="68">
        <f t="shared" si="91"/>
      </c>
      <c r="AD217" s="8">
        <f ca="1">IF(C217&lt;=CRONO.NivelExibicao,MAX($AD$15:OFFSET(AD217,-1,0))+IF($C217&lt;&gt;1,1,MAX(1,COUNTIF('[1]QCI'!$A$13:$A$24,OFFSET($E217,-1,0)))),"")</f>
      </c>
      <c r="AE217" s="18" t="str">
        <f t="shared" si="92"/>
        <v>SINAPI  102204 </v>
      </c>
      <c r="AF217" s="69" t="e">
        <f ca="1" t="shared" si="93"/>
        <v>#VALUE!</v>
      </c>
      <c r="AG217" s="70">
        <v>8.59</v>
      </c>
      <c r="AH217" s="71">
        <f t="shared" si="94"/>
        <v>0.2282</v>
      </c>
      <c r="AJ217" s="72">
        <v>200</v>
      </c>
      <c r="AL217" s="73"/>
      <c r="AM217" s="74">
        <f t="shared" si="98"/>
        <v>0</v>
      </c>
      <c r="AN217" s="75">
        <f t="shared" si="95"/>
        <v>0</v>
      </c>
    </row>
    <row r="218" spans="1:40" ht="30">
      <c r="A218" t="str">
        <f t="shared" si="78"/>
        <v>S</v>
      </c>
      <c r="B218">
        <f ca="1">IF(OR(C218="s",C218=0),OFFSET(B218,-1,0),C218)</f>
        <v>2</v>
      </c>
      <c r="C218" t="str">
        <f ca="1">IF(OFFSET(C218,-1,0)="L",1,IF(OFFSET(C218,-1,0)=1,2,IF(OR(A218="s",A218=0),"S",IF(AND(OFFSET(C218,-1,0)=2,A218=4),3,IF(AND(OR(OFFSET(C218,-1,0)="s",OFFSET(C218,-1,0)=0),A218&lt;&gt;"s",A218&gt;OFFSET(B218,-1,0)),OFFSET(B218,-1,0),A218)))))</f>
        <v>S</v>
      </c>
      <c r="D218">
        <f>IF(OR(C218="S",C218=0),0,IF(ISERROR(K218),J218,SMALL(J218:K218,1)))</f>
        <v>0</v>
      </c>
      <c r="E218" t="e">
        <f ca="1">IF($C218=1,OFFSET(E218,-1,0)+MAX(1,COUNTIF('[1]QCI'!$A$13:$A$24,OFFSET('[1]ORÇAMENTO'!E215,-1,0))),OFFSET(E218,-1,0))</f>
        <v>#VALUE!</v>
      </c>
      <c r="F218">
        <f ca="1" t="shared" si="82"/>
        <v>1</v>
      </c>
      <c r="G218">
        <f ca="1" t="shared" si="83"/>
        <v>0</v>
      </c>
      <c r="H218">
        <f ca="1" t="shared" si="84"/>
        <v>0</v>
      </c>
      <c r="I218">
        <f ca="1" t="shared" si="85"/>
        <v>0</v>
      </c>
      <c r="J218">
        <f ca="1" t="shared" si="99"/>
        <v>0</v>
      </c>
      <c r="K218">
        <f ca="1">IF(OR($C218="S",$C218=0),0,MATCH(OFFSET($D218,0,$C218)+IF($C218&lt;&gt;1,1,COUNTIF('[1]QCI'!$A$13:$A$24,'[1]ORÇAMENTO'!E215)),OFFSET($D218,1,$C218,ROW($C$223)-ROW($C218)),0))</f>
        <v>0</v>
      </c>
      <c r="L218" s="53">
        <f t="shared" si="86"/>
      </c>
      <c r="M218" s="54" t="s">
        <v>7</v>
      </c>
      <c r="N218" s="55" t="str">
        <f>CHOOSE(1+LOG(1+2*(C218=1)+4*(C218=2)+8*(C218=3)+16*(C218=4)+32*(C218="S"),2),"","Meta","Nível 2","Nível 3","Nível 4","Serviço")</f>
        <v>Serviço</v>
      </c>
      <c r="O218" s="56" t="s">
        <v>442</v>
      </c>
      <c r="P218" s="57" t="s">
        <v>62</v>
      </c>
      <c r="Q218" s="58" t="s">
        <v>244</v>
      </c>
      <c r="R218" s="59" t="s">
        <v>236</v>
      </c>
      <c r="S218" s="60" t="s">
        <v>143</v>
      </c>
      <c r="T218" s="61">
        <f>AJ218</f>
        <v>2000</v>
      </c>
      <c r="U218" s="62"/>
      <c r="V218" s="63" t="s">
        <v>10</v>
      </c>
      <c r="W218" s="61">
        <f t="shared" si="88"/>
        <v>0</v>
      </c>
      <c r="X218" s="64">
        <f t="shared" si="97"/>
        <v>0</v>
      </c>
      <c r="Y218" s="65" t="s">
        <v>63</v>
      </c>
      <c r="Z218">
        <f t="shared" si="89"/>
      </c>
      <c r="AA218" s="66">
        <f>IF($C218="S",IF($Z218="CP",$X218,IF($Z218="RA",(($X218)*'[1]QCI'!$AA$3),0)),SomaAgrup)</f>
        <v>0</v>
      </c>
      <c r="AB218" s="67">
        <f t="shared" si="90"/>
        <v>0</v>
      </c>
      <c r="AC218" s="68">
        <f t="shared" si="91"/>
      </c>
      <c r="AD218" s="8">
        <f ca="1">IF(C218&lt;=CRONO.NivelExibicao,MAX($AD$15:OFFSET(AD218,-1,0))+IF($C218&lt;&gt;1,1,MAX(1,COUNTIF('[1]QCI'!$A$13:$A$24,OFFSET($E218,-1,0)))),"")</f>
      </c>
      <c r="AE218" s="18" t="str">
        <f t="shared" si="92"/>
        <v>SINAPI  102498 </v>
      </c>
      <c r="AF218" s="69" t="e">
        <f ca="1" t="shared" si="93"/>
        <v>#VALUE!</v>
      </c>
      <c r="AG218" s="70">
        <v>1.3</v>
      </c>
      <c r="AH218" s="71">
        <f t="shared" si="94"/>
        <v>0.2282</v>
      </c>
      <c r="AJ218" s="72">
        <v>2000</v>
      </c>
      <c r="AL218" s="73"/>
      <c r="AM218" s="74">
        <f t="shared" si="98"/>
        <v>0</v>
      </c>
      <c r="AN218" s="75">
        <f t="shared" si="95"/>
        <v>0</v>
      </c>
    </row>
    <row r="219" spans="1:40" ht="15">
      <c r="A219">
        <f t="shared" si="78"/>
        <v>1</v>
      </c>
      <c r="B219">
        <f ca="1" t="shared" si="79"/>
        <v>1</v>
      </c>
      <c r="C219">
        <f ca="1" t="shared" si="80"/>
        <v>1</v>
      </c>
      <c r="D219">
        <f t="shared" si="81"/>
        <v>4</v>
      </c>
      <c r="E219" t="e">
        <f ca="1">IF($C219=1,OFFSET(E219,-1,0)+MAX(1,COUNTIF('[1]QCI'!$A$13:$A$24,OFFSET('[1]ORÇAMENTO'!E214,-1,0))),OFFSET(E219,-1,0))</f>
        <v>#VALUE!</v>
      </c>
      <c r="F219">
        <f ca="1" t="shared" si="82"/>
        <v>0</v>
      </c>
      <c r="G219">
        <f ca="1" t="shared" si="83"/>
        <v>0</v>
      </c>
      <c r="H219">
        <f ca="1" t="shared" si="84"/>
        <v>0</v>
      </c>
      <c r="I219">
        <f ca="1" t="shared" si="85"/>
        <v>0</v>
      </c>
      <c r="J219">
        <f ca="1" t="shared" si="99"/>
        <v>4</v>
      </c>
      <c r="K219" t="e">
        <f ca="1">IF(OR($C219="S",$C219=0),0,MATCH(OFFSET($D219,0,$C219)+IF($C219&lt;&gt;1,1,COUNTIF('[1]QCI'!$A$13:$A$24,'[1]ORÇAMENTO'!E214)),OFFSET($D219,1,$C219,ROW($C$223)-ROW($C219)),0))</f>
        <v>#VALUE!</v>
      </c>
      <c r="L219" s="53" t="str">
        <f t="shared" si="86"/>
        <v>F</v>
      </c>
      <c r="M219" s="54" t="s">
        <v>3</v>
      </c>
      <c r="N219" s="55" t="str">
        <f t="shared" si="87"/>
        <v>Meta</v>
      </c>
      <c r="O219" s="56" t="s">
        <v>443</v>
      </c>
      <c r="P219" s="57" t="s">
        <v>62</v>
      </c>
      <c r="Q219" s="58"/>
      <c r="R219" s="59" t="s">
        <v>444</v>
      </c>
      <c r="S219" s="60" t="str">
        <f>REFERENCIA.Unidade</f>
        <v>-</v>
      </c>
      <c r="T219" s="61" t="e">
        <f ca="1">OFFSET('[1]CÁLCULO'!H$15,ROW($T219)-ROW(T$15),0)</f>
        <v>#VALUE!</v>
      </c>
      <c r="U219" s="62"/>
      <c r="V219" s="63" t="s">
        <v>10</v>
      </c>
      <c r="W219" s="61">
        <f t="shared" si="88"/>
        <v>0</v>
      </c>
      <c r="X219" s="64">
        <f>ROUND(SUM(X220),2)</f>
        <v>0</v>
      </c>
      <c r="Y219" s="65" t="s">
        <v>63</v>
      </c>
      <c r="Z219">
        <f t="shared" si="89"/>
      </c>
      <c r="AA219" s="66">
        <f>IF($C219="S",IF($Z219="CP",$X219,IF($Z219="RA",(($X219)*'[1]QCI'!$AA$3),0)),SomaAgrup)</f>
        <v>0</v>
      </c>
      <c r="AB219" s="67">
        <f t="shared" si="90"/>
        <v>0</v>
      </c>
      <c r="AC219" s="68">
        <f t="shared" si="91"/>
      </c>
      <c r="AD219" s="8" t="e">
        <f ca="1">IF(C219&lt;=CRONO.NivelExibicao,MAX($AD$15:OFFSET(AD219,-1,0))+IF($C219&lt;&gt;1,1,MAX(1,COUNTIF('[1]QCI'!$A$13:$A$24,OFFSET($E219,-1,0)))),"")</f>
        <v>#VALUE!</v>
      </c>
      <c r="AE219" s="18" t="b">
        <f t="shared" si="92"/>
        <v>0</v>
      </c>
      <c r="AF219" s="69" t="e">
        <f ca="1" t="shared" si="93"/>
        <v>#VALUE!</v>
      </c>
      <c r="AG219" s="70"/>
      <c r="AH219" s="71">
        <f t="shared" si="94"/>
        <v>0.2282</v>
      </c>
      <c r="AJ219" s="72"/>
      <c r="AL219" s="73"/>
      <c r="AM219" s="74">
        <f t="shared" si="98"/>
        <v>0</v>
      </c>
      <c r="AN219" s="75">
        <f t="shared" si="95"/>
        <v>0</v>
      </c>
    </row>
    <row r="220" spans="1:40" ht="15">
      <c r="A220" t="str">
        <f t="shared" si="78"/>
        <v>S</v>
      </c>
      <c r="B220">
        <f ca="1" t="shared" si="79"/>
        <v>2</v>
      </c>
      <c r="C220">
        <f ca="1" t="shared" si="80"/>
        <v>2</v>
      </c>
      <c r="D220">
        <f t="shared" si="81"/>
        <v>3</v>
      </c>
      <c r="E220" t="e">
        <f ca="1">IF($C220=1,OFFSET(E220,-1,0)+MAX(1,COUNTIF('[1]QCI'!$A$13:$A$24,OFFSET('[1]ORÇAMENTO'!E215,-1,0))),OFFSET(E220,-1,0))</f>
        <v>#VALUE!</v>
      </c>
      <c r="F220">
        <f ca="1" t="shared" si="82"/>
        <v>1</v>
      </c>
      <c r="G220">
        <f ca="1" t="shared" si="83"/>
        <v>0</v>
      </c>
      <c r="H220">
        <f ca="1" t="shared" si="84"/>
        <v>0</v>
      </c>
      <c r="I220">
        <f ca="1" t="shared" si="85"/>
        <v>0</v>
      </c>
      <c r="J220">
        <f ca="1" t="shared" si="99"/>
        <v>3</v>
      </c>
      <c r="K220" t="e">
        <f ca="1">IF(OR($C220="S",$C220=0),0,MATCH(OFFSET($D220,0,$C220)+IF($C220&lt;&gt;1,1,COUNTIF('[1]QCI'!$A$13:$A$24,'[1]ORÇAMENTO'!E215)),OFFSET($D220,1,$C220,ROW($C$223)-ROW($C220)),0))</f>
        <v>#N/A</v>
      </c>
      <c r="L220" s="53" t="str">
        <f t="shared" si="86"/>
        <v>F</v>
      </c>
      <c r="M220" s="54" t="s">
        <v>7</v>
      </c>
      <c r="N220" s="55" t="str">
        <f t="shared" si="87"/>
        <v>Nível 2</v>
      </c>
      <c r="O220" s="56" t="s">
        <v>445</v>
      </c>
      <c r="P220" s="57" t="s">
        <v>62</v>
      </c>
      <c r="Q220" s="58"/>
      <c r="R220" s="59" t="s">
        <v>446</v>
      </c>
      <c r="S220" s="60" t="str">
        <f>REFERENCIA.Unidade</f>
        <v>-</v>
      </c>
      <c r="T220" s="61" t="e">
        <f ca="1">OFFSET('[1]CÁLCULO'!H$15,ROW($T220)-ROW(T$15),0)</f>
        <v>#VALUE!</v>
      </c>
      <c r="U220" s="62"/>
      <c r="V220" s="63" t="s">
        <v>10</v>
      </c>
      <c r="W220" s="61">
        <f t="shared" si="88"/>
        <v>0</v>
      </c>
      <c r="X220" s="64">
        <f>ROUND(SUM(X221:X222),2)</f>
        <v>0</v>
      </c>
      <c r="Y220" s="65" t="s">
        <v>63</v>
      </c>
      <c r="Z220">
        <f t="shared" si="89"/>
      </c>
      <c r="AA220" s="66">
        <f>IF($C220="S",IF($Z220="CP",$X220,IF($Z220="RA",(($X220)*'[1]QCI'!$AA$3),0)),SomaAgrup)</f>
        <v>0</v>
      </c>
      <c r="AB220" s="67">
        <f t="shared" si="90"/>
        <v>0</v>
      </c>
      <c r="AC220" s="68">
        <f t="shared" si="91"/>
      </c>
      <c r="AD220" s="8" t="e">
        <f ca="1">IF(C220&lt;=CRONO.NivelExibicao,MAX($AD$15:OFFSET(AD220,-1,0))+IF($C220&lt;&gt;1,1,MAX(1,COUNTIF('[1]QCI'!$A$13:$A$24,OFFSET($E220,-1,0)))),"")</f>
        <v>#VALUE!</v>
      </c>
      <c r="AE220" s="18" t="b">
        <f t="shared" si="92"/>
        <v>0</v>
      </c>
      <c r="AF220" s="69" t="e">
        <f ca="1" t="shared" si="93"/>
        <v>#VALUE!</v>
      </c>
      <c r="AG220" s="70"/>
      <c r="AH220" s="71">
        <f t="shared" si="94"/>
        <v>0.2282</v>
      </c>
      <c r="AJ220" s="72"/>
      <c r="AL220" s="73"/>
      <c r="AM220" s="74">
        <f t="shared" si="98"/>
        <v>0</v>
      </c>
      <c r="AN220" s="75">
        <f t="shared" si="95"/>
        <v>0</v>
      </c>
    </row>
    <row r="221" spans="1:40" ht="30">
      <c r="A221" t="str">
        <f t="shared" si="78"/>
        <v>S</v>
      </c>
      <c r="B221">
        <f ca="1" t="shared" si="79"/>
        <v>2</v>
      </c>
      <c r="C221" t="str">
        <f ca="1" t="shared" si="80"/>
        <v>S</v>
      </c>
      <c r="D221">
        <f t="shared" si="81"/>
        <v>0</v>
      </c>
      <c r="E221" t="e">
        <f ca="1">IF($C221=1,OFFSET(E221,-1,0)+MAX(1,COUNTIF('[1]QCI'!$A$13:$A$24,OFFSET('[1]ORÇAMENTO'!E216,-1,0))),OFFSET(E221,-1,0))</f>
        <v>#VALUE!</v>
      </c>
      <c r="F221">
        <f ca="1" t="shared" si="82"/>
        <v>1</v>
      </c>
      <c r="G221">
        <f ca="1" t="shared" si="83"/>
        <v>0</v>
      </c>
      <c r="H221">
        <f ca="1" t="shared" si="84"/>
        <v>0</v>
      </c>
      <c r="I221">
        <f ca="1" t="shared" si="85"/>
        <v>0</v>
      </c>
      <c r="J221">
        <f ca="1" t="shared" si="99"/>
        <v>0</v>
      </c>
      <c r="K221">
        <f ca="1">IF(OR($C221="S",$C221=0),0,MATCH(OFFSET($D221,0,$C221)+IF($C221&lt;&gt;1,1,COUNTIF('[1]QCI'!$A$13:$A$24,'[1]ORÇAMENTO'!E216)),OFFSET($D221,1,$C221,ROW($C$223)-ROW($C221)),0))</f>
        <v>0</v>
      </c>
      <c r="L221" s="53">
        <f t="shared" si="86"/>
      </c>
      <c r="M221" s="54" t="s">
        <v>7</v>
      </c>
      <c r="N221" s="55" t="str">
        <f t="shared" si="87"/>
        <v>Serviço</v>
      </c>
      <c r="O221" s="56" t="s">
        <v>447</v>
      </c>
      <c r="P221" s="57" t="s">
        <v>62</v>
      </c>
      <c r="Q221" s="58" t="s">
        <v>245</v>
      </c>
      <c r="R221" s="59" t="s">
        <v>247</v>
      </c>
      <c r="S221" s="60" t="s">
        <v>143</v>
      </c>
      <c r="T221" s="61">
        <f>AJ221</f>
        <v>30</v>
      </c>
      <c r="U221" s="62"/>
      <c r="V221" s="63" t="s">
        <v>10</v>
      </c>
      <c r="W221" s="61">
        <f t="shared" si="88"/>
        <v>0</v>
      </c>
      <c r="X221" s="64">
        <f t="shared" si="97"/>
        <v>0</v>
      </c>
      <c r="Y221" s="65" t="s">
        <v>63</v>
      </c>
      <c r="Z221">
        <f t="shared" si="89"/>
      </c>
      <c r="AA221" s="66">
        <f>IF($C221="S",IF($Z221="CP",$X221,IF($Z221="RA",(($X221)*'[1]QCI'!$AA$3),0)),SomaAgrup)</f>
        <v>0</v>
      </c>
      <c r="AB221" s="67">
        <f t="shared" si="90"/>
        <v>0</v>
      </c>
      <c r="AC221" s="68">
        <f t="shared" si="91"/>
      </c>
      <c r="AD221" s="8">
        <f ca="1">IF(C221&lt;=CRONO.NivelExibicao,MAX($AD$15:OFFSET(AD221,-1,0))+IF($C221&lt;&gt;1,1,MAX(1,COUNTIF('[1]QCI'!$A$13:$A$24,OFFSET($E221,-1,0)))),"")</f>
      </c>
      <c r="AE221" s="18" t="str">
        <f t="shared" si="92"/>
        <v>SINAPI  96973 </v>
      </c>
      <c r="AF221" s="69" t="e">
        <f ca="1" t="shared" si="93"/>
        <v>#VALUE!</v>
      </c>
      <c r="AG221" s="70">
        <v>71.34</v>
      </c>
      <c r="AH221" s="71">
        <f t="shared" si="94"/>
        <v>0.2282</v>
      </c>
      <c r="AJ221" s="72">
        <v>30</v>
      </c>
      <c r="AL221" s="73"/>
      <c r="AM221" s="74">
        <f t="shared" si="98"/>
        <v>0</v>
      </c>
      <c r="AN221" s="75">
        <f t="shared" si="95"/>
        <v>0</v>
      </c>
    </row>
    <row r="222" spans="1:40" ht="45">
      <c r="A222" t="str">
        <f t="shared" si="78"/>
        <v>S</v>
      </c>
      <c r="B222">
        <f ca="1" t="shared" si="79"/>
        <v>2</v>
      </c>
      <c r="C222" t="str">
        <f ca="1" t="shared" si="80"/>
        <v>S</v>
      </c>
      <c r="D222">
        <f t="shared" si="81"/>
        <v>0</v>
      </c>
      <c r="E222" t="e">
        <f ca="1">IF($C222=1,OFFSET(E222,-1,0)+MAX(1,COUNTIF('[1]QCI'!$A$13:$A$24,OFFSET('[1]ORÇAMENTO'!E217,-1,0))),OFFSET(E222,-1,0))</f>
        <v>#VALUE!</v>
      </c>
      <c r="F222">
        <f ca="1" t="shared" si="82"/>
        <v>1</v>
      </c>
      <c r="G222">
        <f ca="1" t="shared" si="83"/>
        <v>0</v>
      </c>
      <c r="H222">
        <f ca="1" t="shared" si="84"/>
        <v>0</v>
      </c>
      <c r="I222">
        <f ca="1" t="shared" si="85"/>
        <v>0</v>
      </c>
      <c r="J222">
        <f ca="1" t="shared" si="99"/>
        <v>0</v>
      </c>
      <c r="K222">
        <f ca="1">IF(OR($C222="S",$C222=0),0,MATCH(OFFSET($D222,0,$C222)+IF($C222&lt;&gt;1,1,COUNTIF('[1]QCI'!$A$13:$A$24,'[1]ORÇAMENTO'!E217)),OFFSET($D222,1,$C222,ROW($C$223)-ROW($C222)),0))</f>
        <v>0</v>
      </c>
      <c r="L222" s="53">
        <f t="shared" si="86"/>
      </c>
      <c r="M222" s="54" t="s">
        <v>7</v>
      </c>
      <c r="N222" s="55" t="str">
        <f t="shared" si="87"/>
        <v>Serviço</v>
      </c>
      <c r="O222" s="56" t="s">
        <v>448</v>
      </c>
      <c r="P222" s="57" t="s">
        <v>62</v>
      </c>
      <c r="Q222" s="58" t="s">
        <v>246</v>
      </c>
      <c r="R222" s="59" t="s">
        <v>248</v>
      </c>
      <c r="S222" s="60" t="s">
        <v>143</v>
      </c>
      <c r="T222" s="61">
        <f>AJ222</f>
        <v>3</v>
      </c>
      <c r="U222" s="62"/>
      <c r="V222" s="63" t="s">
        <v>10</v>
      </c>
      <c r="W222" s="61">
        <f t="shared" si="88"/>
        <v>0</v>
      </c>
      <c r="X222" s="64">
        <f t="shared" si="97"/>
        <v>0</v>
      </c>
      <c r="Y222" s="65" t="s">
        <v>63</v>
      </c>
      <c r="Z222">
        <f t="shared" si="89"/>
      </c>
      <c r="AA222" s="66">
        <f>IF($C222="S",IF($Z222="CP",$X222,IF($Z222="RA",(($X222)*'[1]QCI'!$AA$3),0)),SomaAgrup)</f>
        <v>0</v>
      </c>
      <c r="AB222" s="67">
        <f t="shared" si="90"/>
        <v>0</v>
      </c>
      <c r="AC222" s="68">
        <f t="shared" si="91"/>
      </c>
      <c r="AD222" s="8">
        <f ca="1">IF(C222&lt;=CRONO.NivelExibicao,MAX($AD$15:OFFSET(AD222,-1,0))+IF($C222&lt;&gt;1,1,MAX(1,COUNTIF('[1]QCI'!$A$13:$A$24,OFFSET($E222,-1,0)))),"")</f>
      </c>
      <c r="AE222" s="18" t="str">
        <f t="shared" si="92"/>
        <v>SINAPI  91871 </v>
      </c>
      <c r="AF222" s="69" t="e">
        <f ca="1" t="shared" si="93"/>
        <v>#VALUE!</v>
      </c>
      <c r="AG222" s="70">
        <v>14.9</v>
      </c>
      <c r="AH222" s="71">
        <f t="shared" si="94"/>
        <v>0.2282</v>
      </c>
      <c r="AJ222" s="72">
        <v>3</v>
      </c>
      <c r="AL222" s="73"/>
      <c r="AM222" s="74">
        <f t="shared" si="98"/>
        <v>0</v>
      </c>
      <c r="AN222" s="75">
        <f t="shared" si="95"/>
        <v>0</v>
      </c>
    </row>
    <row r="223" spans="1:40" ht="4.5" customHeight="1">
      <c r="A223">
        <v>-1</v>
      </c>
      <c r="C223">
        <v>-1</v>
      </c>
      <c r="E223">
        <v>0</v>
      </c>
      <c r="F223">
        <v>0</v>
      </c>
      <c r="G223">
        <v>0</v>
      </c>
      <c r="H223">
        <v>0</v>
      </c>
      <c r="I223">
        <v>0</v>
      </c>
      <c r="L223" s="53" t="s">
        <v>65</v>
      </c>
      <c r="M223" s="90"/>
      <c r="N223" s="91"/>
      <c r="O223" s="90"/>
      <c r="P223" s="92"/>
      <c r="Q223" s="92"/>
      <c r="R223" s="92"/>
      <c r="S223" s="92"/>
      <c r="T223" s="92"/>
      <c r="U223" s="92"/>
      <c r="V223" s="92"/>
      <c r="W223" s="92"/>
      <c r="X223" s="93"/>
      <c r="Y223" s="8"/>
      <c r="AA223" s="8"/>
      <c r="AB223" s="8"/>
      <c r="AC223" s="8"/>
      <c r="AD223" s="8"/>
      <c r="AE223" s="8"/>
      <c r="AF223" s="8"/>
      <c r="AG223" s="94"/>
      <c r="AH223" s="95"/>
      <c r="AJ223" s="96"/>
      <c r="AL223" s="94"/>
      <c r="AM223" s="97"/>
      <c r="AN223" s="95"/>
    </row>
    <row r="224" spans="13:40" ht="15"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8"/>
      <c r="AA224" s="8"/>
      <c r="AB224" s="8"/>
      <c r="AC224" s="8"/>
      <c r="AD224" s="8"/>
      <c r="AE224" s="8"/>
      <c r="AF224" s="8"/>
      <c r="AG224" s="8"/>
      <c r="AH224" s="8"/>
      <c r="AN224" s="8"/>
    </row>
    <row r="225" spans="13:40" ht="15"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8"/>
      <c r="AA225" s="8"/>
      <c r="AB225" s="8"/>
      <c r="AC225" s="8"/>
      <c r="AD225" s="8"/>
      <c r="AE225" s="8"/>
      <c r="AF225" s="8"/>
      <c r="AG225" s="8"/>
      <c r="AH225" s="8"/>
      <c r="AN225" s="8"/>
    </row>
    <row r="226" spans="1:40" ht="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98" t="s">
        <v>117</v>
      </c>
      <c r="P226" s="8"/>
      <c r="Q226" s="138" t="s">
        <v>118</v>
      </c>
      <c r="R226" s="138"/>
      <c r="S226" s="138"/>
      <c r="T226" s="138"/>
      <c r="U226" s="138"/>
      <c r="V226" s="138"/>
      <c r="W226" s="138"/>
      <c r="X226" s="13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N226" s="8"/>
    </row>
    <row r="227" spans="1:40" ht="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N227" s="8"/>
    </row>
    <row r="228" spans="1:40" ht="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99" t="s">
        <v>119</v>
      </c>
      <c r="P228" s="9"/>
      <c r="Q228" s="9"/>
      <c r="R228" s="9"/>
      <c r="S228" s="9"/>
      <c r="T228" s="9"/>
      <c r="U228" s="9"/>
      <c r="V228" s="9"/>
      <c r="W228" s="9"/>
      <c r="X228" s="100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N228" s="8"/>
    </row>
    <row r="229" spans="1:40" ht="12.7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139"/>
      <c r="P229" s="139"/>
      <c r="Q229" s="139"/>
      <c r="R229" s="139"/>
      <c r="S229" s="139"/>
      <c r="T229" s="139"/>
      <c r="U229" s="139"/>
      <c r="V229" s="139"/>
      <c r="W229" s="139"/>
      <c r="X229" s="139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N229" s="8"/>
    </row>
    <row r="230" spans="1:40" ht="1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139"/>
      <c r="P230" s="139"/>
      <c r="Q230" s="139"/>
      <c r="R230" s="139"/>
      <c r="S230" s="139"/>
      <c r="T230" s="139"/>
      <c r="U230" s="139"/>
      <c r="V230" s="139"/>
      <c r="W230" s="139"/>
      <c r="X230" s="139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N230" s="8"/>
    </row>
    <row r="231" spans="1:40" ht="1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139"/>
      <c r="P231" s="139"/>
      <c r="Q231" s="139"/>
      <c r="R231" s="139"/>
      <c r="S231" s="139"/>
      <c r="T231" s="139"/>
      <c r="U231" s="139"/>
      <c r="V231" s="139"/>
      <c r="W231" s="139"/>
      <c r="X231" s="139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N231" s="8"/>
    </row>
    <row r="232" spans="1:40" ht="1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101"/>
      <c r="P232" s="101"/>
      <c r="Q232" s="101"/>
      <c r="R232" s="101"/>
      <c r="S232" s="101"/>
      <c r="T232" s="101"/>
      <c r="U232" s="101"/>
      <c r="V232" s="101"/>
      <c r="W232" s="101"/>
      <c r="X232" s="101"/>
      <c r="Y232" s="101"/>
      <c r="Z232" s="102"/>
      <c r="AA232" s="102"/>
      <c r="AB232" s="102"/>
      <c r="AC232" s="8"/>
      <c r="AD232" s="8"/>
      <c r="AE232" s="8"/>
      <c r="AF232" s="8"/>
      <c r="AG232" s="8"/>
      <c r="AH232" s="8"/>
      <c r="AN232" s="8"/>
    </row>
    <row r="233" spans="1:40" ht="1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140" t="str">
        <f>IF(AND($AF$7=FALSE,$AF$8=FALSE,$AF$9=FALSE,$AF$10=FALSE,$AF$11=FALSE),"Não foi considerado arredondamento nos valores da planilha.",CONCATENATE("Foi considerado arredondamento de duas casas decimais para ",IF($AF$7=TRUE,"Quantidade; ",""),IF($AF$8=TRUE,"Custo Unitário; ",""),IF($AF$9=TRUE,"BDI; ",""),IF($AF$10=TRUE,"Preço Unitário; ",""),IF($AF$11=TRUE,"Preço Total.","")))</f>
        <v>Foi considerado arredondamento de duas casas decimais para Quantidade; Custo Unitário; BDI; Preço Unitário; Preço Total.</v>
      </c>
      <c r="P233" s="140"/>
      <c r="Q233" s="140"/>
      <c r="R233" s="140"/>
      <c r="S233" s="140"/>
      <c r="T233" s="140"/>
      <c r="U233" s="140"/>
      <c r="V233" s="140"/>
      <c r="W233" s="140"/>
      <c r="X233" s="140"/>
      <c r="Y233" s="103"/>
      <c r="Z233" s="103"/>
      <c r="AA233" s="103"/>
      <c r="AB233" s="103"/>
      <c r="AC233" s="8"/>
      <c r="AD233" s="8"/>
      <c r="AE233" s="8"/>
      <c r="AF233" s="8"/>
      <c r="AG233" s="8"/>
      <c r="AH233" s="8"/>
      <c r="AN233" s="8"/>
    </row>
    <row r="234" spans="1:40" ht="1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141" t="s">
        <v>120</v>
      </c>
      <c r="P234" s="141"/>
      <c r="Q234" s="141"/>
      <c r="R234" s="141"/>
      <c r="S234" s="141"/>
      <c r="T234" s="141"/>
      <c r="U234" s="141"/>
      <c r="V234" s="141"/>
      <c r="W234" s="141"/>
      <c r="X234" s="141"/>
      <c r="Y234" s="103"/>
      <c r="Z234" s="103"/>
      <c r="AA234" s="103"/>
      <c r="AB234" s="103"/>
      <c r="AC234" s="8"/>
      <c r="AD234" s="8"/>
      <c r="AE234" s="8"/>
      <c r="AF234" s="8"/>
      <c r="AG234" s="8"/>
      <c r="AH234" s="8"/>
      <c r="AN234" s="8"/>
    </row>
    <row r="235" spans="1:40" ht="1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N235" s="8"/>
    </row>
    <row r="236" spans="1:40" ht="30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142" t="str">
        <f>Import.Município</f>
        <v>NAVIRAÍ/MS</v>
      </c>
      <c r="P236" s="142"/>
      <c r="Q236" s="142"/>
      <c r="R236" s="8"/>
      <c r="S236" s="104"/>
      <c r="T236" s="104"/>
      <c r="U236" s="104"/>
      <c r="V236" s="104"/>
      <c r="W236" s="105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N236" s="8"/>
    </row>
    <row r="237" spans="1:40" ht="1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106" t="s">
        <v>121</v>
      </c>
      <c r="P237" s="8"/>
      <c r="Q237" s="8"/>
      <c r="R237" s="8"/>
      <c r="S237" s="107" t="s">
        <v>122</v>
      </c>
      <c r="T237" s="107"/>
      <c r="U237" s="107"/>
      <c r="V237" s="107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N237" s="8"/>
    </row>
    <row r="238" spans="1:40" ht="1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17" t="s">
        <v>123</v>
      </c>
      <c r="T238" s="108" t="s">
        <v>484</v>
      </c>
      <c r="U238" s="109"/>
      <c r="V238" s="110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N238" s="8"/>
    </row>
    <row r="239" spans="1:40" ht="1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136">
        <v>44782</v>
      </c>
      <c r="P239" s="136"/>
      <c r="Q239" s="136"/>
      <c r="R239" s="8"/>
      <c r="S239" s="17" t="s">
        <v>124</v>
      </c>
      <c r="T239" s="108" t="s">
        <v>485</v>
      </c>
      <c r="U239" s="110"/>
      <c r="V239" s="110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N239" s="8"/>
    </row>
    <row r="240" spans="1:40" ht="1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111" t="s">
        <v>125</v>
      </c>
      <c r="P240" s="112"/>
      <c r="Q240" s="112"/>
      <c r="R240" s="8"/>
      <c r="S240" s="17" t="s">
        <v>126</v>
      </c>
      <c r="T240" s="108">
        <v>0</v>
      </c>
      <c r="U240" s="110"/>
      <c r="V240" s="110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N240" s="8"/>
    </row>
  </sheetData>
  <sheetProtection/>
  <mergeCells count="24">
    <mergeCell ref="O239:Q239"/>
    <mergeCell ref="O15:R15"/>
    <mergeCell ref="Q226:X226"/>
    <mergeCell ref="O229:X231"/>
    <mergeCell ref="O233:X233"/>
    <mergeCell ref="O234:X234"/>
    <mergeCell ref="O236:Q236"/>
    <mergeCell ref="AJ7:AJ11"/>
    <mergeCell ref="AL7:AL11"/>
    <mergeCell ref="F8:K8"/>
    <mergeCell ref="L8:L12"/>
    <mergeCell ref="O8:P8"/>
    <mergeCell ref="S8:U8"/>
    <mergeCell ref="Y8:Y12"/>
    <mergeCell ref="Z8:Z12"/>
    <mergeCell ref="F9:K9"/>
    <mergeCell ref="AA12:AB12"/>
    <mergeCell ref="O7:P7"/>
    <mergeCell ref="S7:U7"/>
    <mergeCell ref="O4:P4"/>
    <mergeCell ref="S4:X4"/>
    <mergeCell ref="O5:P5"/>
    <mergeCell ref="S5:X5"/>
    <mergeCell ref="AE5:AF5"/>
  </mergeCells>
  <conditionalFormatting sqref="M14 M53:M55 M40:M42 M147:M148 M205:M208 M24:M36 M44:M46 M190:M195 M82:M92 M210 M122:M139 M48:M51 M71:M78 M141 M161:M168 M219:M222 M215:M216">
    <cfRule type="cellIs" priority="1240" dxfId="1017" operator="notEqual" stopIfTrue="1">
      <formula>$N14</formula>
    </cfRule>
  </conditionalFormatting>
  <conditionalFormatting sqref="N14:O14 R14 W14:X14 W53:X53 R53:R55 N53:O55 N40:O42 R40:R42 W40:X42 N147:O148 R147:R148 W148:X148 N205:O208 R205:R207 W205:X208 N24:O36 R24:R36 W24:X27 R44:R46 N44:O46 W190:X191 R190:R195 N190:O195 N82:O92 R82 W83:X85 N210:O210 R210 W210 N122:O139 R122:R129 W122:X124 N48:O51 R48:R51 W49:X49 N71:O78 R71:R78 W72:X73 R84:R92 R131:R139 W141:X141 R141 N141:O141 N161:O168 R161:R168 W161:X164 W221:X222 R219:R222 N219:O222 W215:X216 R215:R216 N215:O216 W76:X77 W31:X32 W28:W30 W35:X36 W33:W34 W46:X46 W44:W45 W48 W50:W51 W54:W55 W71 W74:W75 W78 W82 W87:X92 W86 W126:X134 W125 W138:X139 W135:W137 W147 W168:X168 W165:W167 W194:X195 W192:W193 W219:W220">
    <cfRule type="expression" priority="1241" dxfId="1018" stopIfTrue="1">
      <formula>$C14=1</formula>
    </cfRule>
    <cfRule type="expression" priority="1242" dxfId="1019" stopIfTrue="1">
      <formula>OR($C14=0,$C14=2,$C14=3,$C14=4)</formula>
    </cfRule>
  </conditionalFormatting>
  <conditionalFormatting sqref="U14:V14 U23:U27 V24:V27 U53:U57 V53:V55 U48:V48 U197:U199 U147:V147 V148 V205:V208 U204:U208 U28:V36 U83:V84 U85 V135:V139 U125:V134 U62:U67 U58:V61 U86:V92 U119:U124 V122:V124 U69:U70 U76:V77 V141 U135:U142">
    <cfRule type="expression" priority="1243" dxfId="1020" stopIfTrue="1">
      <formula>$C14=1</formula>
    </cfRule>
    <cfRule type="expression" priority="1244" dxfId="1021" stopIfTrue="1">
      <formula>OR($C14=0,$C14=2,$C14=3,$C14=4)</formula>
    </cfRule>
    <cfRule type="expression" priority="1245" dxfId="1022" stopIfTrue="1">
      <formula>AND(TIPOORCAMENTO="Licitado",$C14&lt;&gt;"L",$C14&lt;&gt;-1)</formula>
    </cfRule>
  </conditionalFormatting>
  <conditionalFormatting sqref="P14:Q14 S14:T14 Y14 AG14:AH14 AG53:AH55 Y53:Y55 S54:T55 P40:Q42 S40:S42 Y40:Y42 AG40:AH42 P147:Q148 S147:T147 Y147:Y148 AG147:AH148 S205:S207 Y205:Y208 P24:Q30 P31 S28:T30 Y24:Y36 AG24:AH36 AG44:AH46 Y44:Y46 S44:T45 P44:Q46 AG190:AH195 Y190:Y195 S192:T193 P82:Q92 S82:T82 Y82:Y92 AG82:AH92 S210:T210 Y210 AG210:AH210 P210:Q210 P122:Q129 S125:T125 Y122:Y139 AG122:AH129 S24:S27 S33:T34 S31:S32 S35:S36 S48:T48 S46 S50:T51 S49 S53 S86:T86 S83:S85 S87:S92 S122:S124 S135:T137 S126:S129 S138:S139 S148 S190:S191 S194:S195 S219:T220 S215:S216 S221:S222 P48:Q51 Y48:Y51 AG48:AH51 P71:Q78 Y71:Y78 AG71:AH78 S76:T77 S131:S134 P131:Q139 P130 AG131:AH139 AH130 AG141:AH141 Y141 P141:Q141 T141 Y161:Y168 AG161:AH168 AG205:AH208 P219:Q222 AG219:AH222 Y219:Y222 P215:Q216 AG215:AH216 Y215:Y216">
    <cfRule type="expression" priority="1246" dxfId="1023" stopIfTrue="1">
      <formula>$C14=1</formula>
    </cfRule>
    <cfRule type="expression" priority="1247" dxfId="1021" stopIfTrue="1">
      <formula>OR($C14=0,$C14=2,$C14=3,$C14=4)</formula>
    </cfRule>
  </conditionalFormatting>
  <conditionalFormatting sqref="AJ7:AJ15 AJ53:AJ55 AJ40:AJ42 AJ147:AJ148 AJ205:AJ208 AJ24:AJ36 AJ44:AJ46 AJ190:AJ195 AJ82:AJ92 AJ210 AJ125:AJ129 AJ48:AJ51 AJ71:AJ78 AJ131:AJ139 AJ141 AJ163:AJ168 AJ219:AJ223 AJ215:AJ216">
    <cfRule type="expression" priority="1248" dxfId="1024" stopIfTrue="1">
      <formula>OR(ACOMPANHAMENTO&lt;&gt;"BM",TIPOORCAMENTO="Licitado")</formula>
    </cfRule>
    <cfRule type="expression" priority="1249" dxfId="1023" stopIfTrue="1">
      <formula>$C7=1</formula>
    </cfRule>
    <cfRule type="expression" priority="1250" dxfId="1021" stopIfTrue="1">
      <formula>OR(AND(ISNUMBER($C7),$C7=0),$C7=2,$C7=3,$C7=4)</formula>
    </cfRule>
  </conditionalFormatting>
  <conditionalFormatting sqref="AL7:AL15 AL53:AL55 AL40:AL42 AL147:AL148 AL205:AL208 AL24:AL36 AL44:AL46 AL190:AL195 AL82:AL92 AL210 AL122:AL139 AL48:AL51 AL71:AL78 AL141 AL161:AL168 AL219:AL223 AL215:AL216">
    <cfRule type="expression" priority="1251" dxfId="1024" stopIfTrue="1">
      <formula>TIPOORCAMENTO="PROPOSTO"</formula>
    </cfRule>
    <cfRule type="expression" priority="1252" dxfId="1023" stopIfTrue="1">
      <formula>$C7=1</formula>
    </cfRule>
    <cfRule type="expression" priority="1253" dxfId="1021" stopIfTrue="1">
      <formula>OR(AND(ISNUMBER($C7),$C7=0),$C7=2,$C7=3,$C7=4)</formula>
    </cfRule>
  </conditionalFormatting>
  <conditionalFormatting sqref="O8:P8">
    <cfRule type="expression" priority="1257" dxfId="1025" stopIfTrue="1">
      <formula>ISERROR(INDIRECT($F$9))</formula>
    </cfRule>
  </conditionalFormatting>
  <conditionalFormatting sqref="S7:V8">
    <cfRule type="expression" priority="1258" dxfId="1001" stopIfTrue="1">
      <formula>TIPOORCAMENTO="Proposto"</formula>
    </cfRule>
  </conditionalFormatting>
  <conditionalFormatting sqref="S9:V9">
    <cfRule type="expression" priority="1239" dxfId="1026" stopIfTrue="1">
      <formula>TIPOORCAMENTO="Proposto"</formula>
    </cfRule>
  </conditionalFormatting>
  <conditionalFormatting sqref="AM7:AN15 AM53:AN55 AM40:AN42 AM147:AN148 AM205:AN208 AM24:AN36 AM44:AN46 AM190:AN195 AM82:AN92 AM210:AN210 AM122:AN139 AM48:AN51 AM71:AN78 AM141:AN141 AM161:AN168 AM219:AN223 AM215:AN216">
    <cfRule type="expression" priority="1254" dxfId="1024" stopIfTrue="1">
      <formula>TIPOORCAMENTO="PROPOSTO"</formula>
    </cfRule>
    <cfRule type="expression" priority="1255" dxfId="1027" stopIfTrue="1">
      <formula>$C7=1</formula>
    </cfRule>
    <cfRule type="expression" priority="1256" dxfId="1019" stopIfTrue="1">
      <formula>OR(AND(ISNUMBER($C7),$C7=0),$C7=2,$C7=3,$C7=4)</formula>
    </cfRule>
  </conditionalFormatting>
  <conditionalFormatting sqref="M16 M20:M21">
    <cfRule type="cellIs" priority="1222" dxfId="1017" operator="notEqual" stopIfTrue="1">
      <formula>$N16</formula>
    </cfRule>
  </conditionalFormatting>
  <conditionalFormatting sqref="N16:O16 R16 W16:X16 W20:X21 R20:R21 N20:O21">
    <cfRule type="expression" priority="1223" dxfId="1018" stopIfTrue="1">
      <formula>$C16=1</formula>
    </cfRule>
    <cfRule type="expression" priority="1224" dxfId="1019" stopIfTrue="1">
      <formula>OR($C16=0,$C16=2,$C16=3,$C16=4)</formula>
    </cfRule>
  </conditionalFormatting>
  <conditionalFormatting sqref="U16:V16 U22 U20:V21">
    <cfRule type="expression" priority="1225" dxfId="1020" stopIfTrue="1">
      <formula>$C16=1</formula>
    </cfRule>
    <cfRule type="expression" priority="1226" dxfId="1021" stopIfTrue="1">
      <formula>OR($C16=0,$C16=2,$C16=3,$C16=4)</formula>
    </cfRule>
    <cfRule type="expression" priority="1227" dxfId="1022" stopIfTrue="1">
      <formula>AND(TIPOORCAMENTO="Licitado",$C16&lt;&gt;"L",$C16&lt;&gt;-1)</formula>
    </cfRule>
  </conditionalFormatting>
  <conditionalFormatting sqref="P16:Q16 S16:T16 Y16 AG16:AH16 P53:Q55 T22:T27 AG20:AH21 Y20:Y21 S20:T21 P20:Q21">
    <cfRule type="expression" priority="1228" dxfId="1023" stopIfTrue="1">
      <formula>$C16=1</formula>
    </cfRule>
    <cfRule type="expression" priority="1229" dxfId="1021" stopIfTrue="1">
      <formula>OR($C16=0,$C16=2,$C16=3,$C16=4)</formula>
    </cfRule>
  </conditionalFormatting>
  <conditionalFormatting sqref="AJ16 AJ20:AJ21">
    <cfRule type="expression" priority="1230" dxfId="1024" stopIfTrue="1">
      <formula>OR(ACOMPANHAMENTO&lt;&gt;"BM",TIPOORCAMENTO="Licitado")</formula>
    </cfRule>
    <cfRule type="expression" priority="1231" dxfId="1023" stopIfTrue="1">
      <formula>$C16=1</formula>
    </cfRule>
    <cfRule type="expression" priority="1232" dxfId="1021" stopIfTrue="1">
      <formula>OR(AND(ISNUMBER($C16),$C16=0),$C16=2,$C16=3,$C16=4)</formula>
    </cfRule>
  </conditionalFormatting>
  <conditionalFormatting sqref="AL16 AL20:AL21">
    <cfRule type="expression" priority="1233" dxfId="1024" stopIfTrue="1">
      <formula>TIPOORCAMENTO="PROPOSTO"</formula>
    </cfRule>
    <cfRule type="expression" priority="1234" dxfId="1023" stopIfTrue="1">
      <formula>$C16=1</formula>
    </cfRule>
    <cfRule type="expression" priority="1235" dxfId="1021" stopIfTrue="1">
      <formula>OR(AND(ISNUMBER($C16),$C16=0),$C16=2,$C16=3,$C16=4)</formula>
    </cfRule>
  </conditionalFormatting>
  <conditionalFormatting sqref="AM16:AN16 AM20:AN21">
    <cfRule type="expression" priority="1236" dxfId="1024" stopIfTrue="1">
      <formula>TIPOORCAMENTO="PROPOSTO"</formula>
    </cfRule>
    <cfRule type="expression" priority="1237" dxfId="1027" stopIfTrue="1">
      <formula>$C16=1</formula>
    </cfRule>
    <cfRule type="expression" priority="1238" dxfId="1019" stopIfTrue="1">
      <formula>OR(AND(ISNUMBER($C16),$C16=0),$C16=2,$C16=3,$C16=4)</formula>
    </cfRule>
  </conditionalFormatting>
  <conditionalFormatting sqref="M56:M57 M62:M67 M69">
    <cfRule type="cellIs" priority="1205" dxfId="1017" operator="notEqual" stopIfTrue="1">
      <formula>$N56</formula>
    </cfRule>
  </conditionalFormatting>
  <conditionalFormatting sqref="N56:O57 R56:R57 W56:X57 W64:X65 R62:R67 N62:O67 N69:O69 R69 W69:X69 W62:W63 W66:W67">
    <cfRule type="expression" priority="1206" dxfId="1018" stopIfTrue="1">
      <formula>$C56=1</formula>
    </cfRule>
    <cfRule type="expression" priority="1207" dxfId="1019" stopIfTrue="1">
      <formula>OR($C56=0,$C56=2,$C56=3,$C56=4)</formula>
    </cfRule>
  </conditionalFormatting>
  <conditionalFormatting sqref="V56:V57 V62:V67 V69">
    <cfRule type="expression" priority="1208" dxfId="1020" stopIfTrue="1">
      <formula>$C56=1</formula>
    </cfRule>
    <cfRule type="expression" priority="1209" dxfId="1021" stopIfTrue="1">
      <formula>OR($C56=0,$C56=2,$C56=3,$C56=4)</formula>
    </cfRule>
    <cfRule type="expression" priority="1210" dxfId="1022" stopIfTrue="1">
      <formula>AND(TIPOORCAMENTO="Licitado",$C56&lt;&gt;"L",$C56&lt;&gt;-1)</formula>
    </cfRule>
  </conditionalFormatting>
  <conditionalFormatting sqref="P56:Q57 S56:S57 Y56:Y57 AG56:AH57 AG62:AH67 Y62:Y67 S62:T63 P62:Q67 S66:T67 S64:S65 S69 Y69 AG69:AH69">
    <cfRule type="expression" priority="1211" dxfId="1023" stopIfTrue="1">
      <formula>$C56=1</formula>
    </cfRule>
    <cfRule type="expression" priority="1212" dxfId="1021" stopIfTrue="1">
      <formula>OR($C56=0,$C56=2,$C56=3,$C56=4)</formula>
    </cfRule>
  </conditionalFormatting>
  <conditionalFormatting sqref="AJ56:AJ57 AJ62:AJ67 AJ69">
    <cfRule type="expression" priority="1213" dxfId="1024" stopIfTrue="1">
      <formula>OR(ACOMPANHAMENTO&lt;&gt;"BM",TIPOORCAMENTO="Licitado")</formula>
    </cfRule>
    <cfRule type="expression" priority="1214" dxfId="1023" stopIfTrue="1">
      <formula>$C56=1</formula>
    </cfRule>
    <cfRule type="expression" priority="1215" dxfId="1021" stopIfTrue="1">
      <formula>OR(AND(ISNUMBER($C56),$C56=0),$C56=2,$C56=3,$C56=4)</formula>
    </cfRule>
  </conditionalFormatting>
  <conditionalFormatting sqref="AL56:AL57 AL62:AL67 AL69">
    <cfRule type="expression" priority="1216" dxfId="1024" stopIfTrue="1">
      <formula>TIPOORCAMENTO="PROPOSTO"</formula>
    </cfRule>
    <cfRule type="expression" priority="1217" dxfId="1023" stopIfTrue="1">
      <formula>$C56=1</formula>
    </cfRule>
    <cfRule type="expression" priority="1218" dxfId="1021" stopIfTrue="1">
      <formula>OR(AND(ISNUMBER($C56),$C56=0),$C56=2,$C56=3,$C56=4)</formula>
    </cfRule>
  </conditionalFormatting>
  <conditionalFormatting sqref="AM56:AN57 AM62:AN67 AM69:AN69">
    <cfRule type="expression" priority="1219" dxfId="1024" stopIfTrue="1">
      <formula>TIPOORCAMENTO="PROPOSTO"</formula>
    </cfRule>
    <cfRule type="expression" priority="1220" dxfId="1027" stopIfTrue="1">
      <formula>$C56=1</formula>
    </cfRule>
    <cfRule type="expression" priority="1221" dxfId="1019" stopIfTrue="1">
      <formula>OR(AND(ISNUMBER($C56),$C56=0),$C56=2,$C56=3,$C56=4)</formula>
    </cfRule>
  </conditionalFormatting>
  <conditionalFormatting sqref="M70">
    <cfRule type="cellIs" priority="1188" dxfId="1017" operator="notEqual" stopIfTrue="1">
      <formula>$N70</formula>
    </cfRule>
  </conditionalFormatting>
  <conditionalFormatting sqref="N70:O70 R70 W70">
    <cfRule type="expression" priority="1189" dxfId="1018" stopIfTrue="1">
      <formula>$C70=1</formula>
    </cfRule>
    <cfRule type="expression" priority="1190" dxfId="1019" stopIfTrue="1">
      <formula>OR($C70=0,$C70=2,$C70=3,$C70=4)</formula>
    </cfRule>
  </conditionalFormatting>
  <conditionalFormatting sqref="V70">
    <cfRule type="expression" priority="1191" dxfId="1020" stopIfTrue="1">
      <formula>$C70=1</formula>
    </cfRule>
    <cfRule type="expression" priority="1192" dxfId="1021" stopIfTrue="1">
      <formula>OR($C70=0,$C70=2,$C70=3,$C70=4)</formula>
    </cfRule>
    <cfRule type="expression" priority="1193" dxfId="1022" stopIfTrue="1">
      <formula>AND(TIPOORCAMENTO="Licitado",$C70&lt;&gt;"L",$C70&lt;&gt;-1)</formula>
    </cfRule>
  </conditionalFormatting>
  <conditionalFormatting sqref="P70:Q70 S70:T70 Y70 AG70:AH70">
    <cfRule type="expression" priority="1194" dxfId="1023" stopIfTrue="1">
      <formula>$C70=1</formula>
    </cfRule>
    <cfRule type="expression" priority="1195" dxfId="1021" stopIfTrue="1">
      <formula>OR($C70=0,$C70=2,$C70=3,$C70=4)</formula>
    </cfRule>
  </conditionalFormatting>
  <conditionalFormatting sqref="AJ70">
    <cfRule type="expression" priority="1196" dxfId="1024" stopIfTrue="1">
      <formula>OR(ACOMPANHAMENTO&lt;&gt;"BM",TIPOORCAMENTO="Licitado")</formula>
    </cfRule>
    <cfRule type="expression" priority="1197" dxfId="1023" stopIfTrue="1">
      <formula>$C70=1</formula>
    </cfRule>
    <cfRule type="expression" priority="1198" dxfId="1021" stopIfTrue="1">
      <formula>OR(AND(ISNUMBER($C70),$C70=0),$C70=2,$C70=3,$C70=4)</formula>
    </cfRule>
  </conditionalFormatting>
  <conditionalFormatting sqref="AL70">
    <cfRule type="expression" priority="1199" dxfId="1024" stopIfTrue="1">
      <formula>TIPOORCAMENTO="PROPOSTO"</formula>
    </cfRule>
    <cfRule type="expression" priority="1200" dxfId="1023" stopIfTrue="1">
      <formula>$C70=1</formula>
    </cfRule>
    <cfRule type="expression" priority="1201" dxfId="1021" stopIfTrue="1">
      <formula>OR(AND(ISNUMBER($C70),$C70=0),$C70=2,$C70=3,$C70=4)</formula>
    </cfRule>
  </conditionalFormatting>
  <conditionalFormatting sqref="AM70:AN70">
    <cfRule type="expression" priority="1202" dxfId="1024" stopIfTrue="1">
      <formula>TIPOORCAMENTO="PROPOSTO"</formula>
    </cfRule>
    <cfRule type="expression" priority="1203" dxfId="1027" stopIfTrue="1">
      <formula>$C70=1</formula>
    </cfRule>
    <cfRule type="expression" priority="1204" dxfId="1019" stopIfTrue="1">
      <formula>OR(AND(ISNUMBER($C70),$C70=0),$C70=2,$C70=3,$C70=4)</formula>
    </cfRule>
  </conditionalFormatting>
  <conditionalFormatting sqref="M22">
    <cfRule type="cellIs" priority="1171" dxfId="1017" operator="notEqual" stopIfTrue="1">
      <formula>$N22</formula>
    </cfRule>
  </conditionalFormatting>
  <conditionalFormatting sqref="N22:O22 R22 W22:X22">
    <cfRule type="expression" priority="1172" dxfId="1018" stopIfTrue="1">
      <formula>$C22=1</formula>
    </cfRule>
    <cfRule type="expression" priority="1173" dxfId="1019" stopIfTrue="1">
      <formula>OR($C22=0,$C22=2,$C22=3,$C22=4)</formula>
    </cfRule>
  </conditionalFormatting>
  <conditionalFormatting sqref="V22">
    <cfRule type="expression" priority="1174" dxfId="1020" stopIfTrue="1">
      <formula>$C22=1</formula>
    </cfRule>
    <cfRule type="expression" priority="1175" dxfId="1021" stopIfTrue="1">
      <formula>OR($C22=0,$C22=2,$C22=3,$C22=4)</formula>
    </cfRule>
    <cfRule type="expression" priority="1176" dxfId="1022" stopIfTrue="1">
      <formula>AND(TIPOORCAMENTO="Licitado",$C22&lt;&gt;"L",$C22&lt;&gt;-1)</formula>
    </cfRule>
  </conditionalFormatting>
  <conditionalFormatting sqref="P22:Q22 S22 Y22 AG22:AH22">
    <cfRule type="expression" priority="1177" dxfId="1023" stopIfTrue="1">
      <formula>$C22=1</formula>
    </cfRule>
    <cfRule type="expression" priority="1178" dxfId="1021" stopIfTrue="1">
      <formula>OR($C22=0,$C22=2,$C22=3,$C22=4)</formula>
    </cfRule>
  </conditionalFormatting>
  <conditionalFormatting sqref="AJ22">
    <cfRule type="expression" priority="1179" dxfId="1024" stopIfTrue="1">
      <formula>OR(ACOMPANHAMENTO&lt;&gt;"BM",TIPOORCAMENTO="Licitado")</formula>
    </cfRule>
    <cfRule type="expression" priority="1180" dxfId="1023" stopIfTrue="1">
      <formula>$C22=1</formula>
    </cfRule>
    <cfRule type="expression" priority="1181" dxfId="1021" stopIfTrue="1">
      <formula>OR(AND(ISNUMBER($C22),$C22=0),$C22=2,$C22=3,$C22=4)</formula>
    </cfRule>
  </conditionalFormatting>
  <conditionalFormatting sqref="AL22">
    <cfRule type="expression" priority="1182" dxfId="1024" stopIfTrue="1">
      <formula>TIPOORCAMENTO="PROPOSTO"</formula>
    </cfRule>
    <cfRule type="expression" priority="1183" dxfId="1023" stopIfTrue="1">
      <formula>$C22=1</formula>
    </cfRule>
    <cfRule type="expression" priority="1184" dxfId="1021" stopIfTrue="1">
      <formula>OR(AND(ISNUMBER($C22),$C22=0),$C22=2,$C22=3,$C22=4)</formula>
    </cfRule>
  </conditionalFormatting>
  <conditionalFormatting sqref="AM22:AN22">
    <cfRule type="expression" priority="1185" dxfId="1024" stopIfTrue="1">
      <formula>TIPOORCAMENTO="PROPOSTO"</formula>
    </cfRule>
    <cfRule type="expression" priority="1186" dxfId="1027" stopIfTrue="1">
      <formula>$C22=1</formula>
    </cfRule>
    <cfRule type="expression" priority="1187" dxfId="1019" stopIfTrue="1">
      <formula>OR(AND(ISNUMBER($C22),$C22=0),$C22=2,$C22=3,$C22=4)</formula>
    </cfRule>
  </conditionalFormatting>
  <conditionalFormatting sqref="M23">
    <cfRule type="cellIs" priority="1154" dxfId="1017" operator="notEqual" stopIfTrue="1">
      <formula>$N23</formula>
    </cfRule>
  </conditionalFormatting>
  <conditionalFormatting sqref="N23:O23 R23 W23:X23">
    <cfRule type="expression" priority="1155" dxfId="1018" stopIfTrue="1">
      <formula>$C23=1</formula>
    </cfRule>
    <cfRule type="expression" priority="1156" dxfId="1019" stopIfTrue="1">
      <formula>OR($C23=0,$C23=2,$C23=3,$C23=4)</formula>
    </cfRule>
  </conditionalFormatting>
  <conditionalFormatting sqref="V23">
    <cfRule type="expression" priority="1157" dxfId="1020" stopIfTrue="1">
      <formula>$C23=1</formula>
    </cfRule>
    <cfRule type="expression" priority="1158" dxfId="1021" stopIfTrue="1">
      <formula>OR($C23=0,$C23=2,$C23=3,$C23=4)</formula>
    </cfRule>
    <cfRule type="expression" priority="1159" dxfId="1022" stopIfTrue="1">
      <formula>AND(TIPOORCAMENTO="Licitado",$C23&lt;&gt;"L",$C23&lt;&gt;-1)</formula>
    </cfRule>
  </conditionalFormatting>
  <conditionalFormatting sqref="P23:Q23 S23 Y23 AG23:AH23">
    <cfRule type="expression" priority="1160" dxfId="1023" stopIfTrue="1">
      <formula>$C23=1</formula>
    </cfRule>
    <cfRule type="expression" priority="1161" dxfId="1021" stopIfTrue="1">
      <formula>OR($C23=0,$C23=2,$C23=3,$C23=4)</formula>
    </cfRule>
  </conditionalFormatting>
  <conditionalFormatting sqref="AJ23">
    <cfRule type="expression" priority="1162" dxfId="1024" stopIfTrue="1">
      <formula>OR(ACOMPANHAMENTO&lt;&gt;"BM",TIPOORCAMENTO="Licitado")</formula>
    </cfRule>
    <cfRule type="expression" priority="1163" dxfId="1023" stopIfTrue="1">
      <formula>$C23=1</formula>
    </cfRule>
    <cfRule type="expression" priority="1164" dxfId="1021" stopIfTrue="1">
      <formula>OR(AND(ISNUMBER($C23),$C23=0),$C23=2,$C23=3,$C23=4)</formula>
    </cfRule>
  </conditionalFormatting>
  <conditionalFormatting sqref="AL23">
    <cfRule type="expression" priority="1165" dxfId="1024" stopIfTrue="1">
      <formula>TIPOORCAMENTO="PROPOSTO"</formula>
    </cfRule>
    <cfRule type="expression" priority="1166" dxfId="1023" stopIfTrue="1">
      <formula>$C23=1</formula>
    </cfRule>
    <cfRule type="expression" priority="1167" dxfId="1021" stopIfTrue="1">
      <formula>OR(AND(ISNUMBER($C23),$C23=0),$C23=2,$C23=3,$C23=4)</formula>
    </cfRule>
  </conditionalFormatting>
  <conditionalFormatting sqref="AM23:AN23">
    <cfRule type="expression" priority="1168" dxfId="1024" stopIfTrue="1">
      <formula>TIPOORCAMENTO="PROPOSTO"</formula>
    </cfRule>
    <cfRule type="expression" priority="1169" dxfId="1027" stopIfTrue="1">
      <formula>$C23=1</formula>
    </cfRule>
    <cfRule type="expression" priority="1170" dxfId="1019" stopIfTrue="1">
      <formula>OR(AND(ISNUMBER($C23),$C23=0),$C23=2,$C23=3,$C23=4)</formula>
    </cfRule>
  </conditionalFormatting>
  <conditionalFormatting sqref="P32">
    <cfRule type="expression" priority="1152" dxfId="1023" stopIfTrue="1">
      <formula>$C32=1</formula>
    </cfRule>
    <cfRule type="expression" priority="1153" dxfId="1021" stopIfTrue="1">
      <formula>OR($C32=0,$C32=2,$C32=3,$C32=4)</formula>
    </cfRule>
  </conditionalFormatting>
  <conditionalFormatting sqref="M37:M39">
    <cfRule type="cellIs" priority="1135" dxfId="1017" operator="notEqual" stopIfTrue="1">
      <formula>$N37</formula>
    </cfRule>
  </conditionalFormatting>
  <conditionalFormatting sqref="N37:O39 R37:R39 W39:X39 W37:W38">
    <cfRule type="expression" priority="1136" dxfId="1018" stopIfTrue="1">
      <formula>$C37=1</formula>
    </cfRule>
    <cfRule type="expression" priority="1137" dxfId="1019" stopIfTrue="1">
      <formula>OR($C37=0,$C37=2,$C37=3,$C37=4)</formula>
    </cfRule>
  </conditionalFormatting>
  <conditionalFormatting sqref="U37:V38 V39">
    <cfRule type="expression" priority="1138" dxfId="1020" stopIfTrue="1">
      <formula>$C37=1</formula>
    </cfRule>
    <cfRule type="expression" priority="1139" dxfId="1021" stopIfTrue="1">
      <formula>OR($C37=0,$C37=2,$C37=3,$C37=4)</formula>
    </cfRule>
    <cfRule type="expression" priority="1140" dxfId="1022" stopIfTrue="1">
      <formula>AND(TIPOORCAMENTO="Licitado",$C37&lt;&gt;"L",$C37&lt;&gt;-1)</formula>
    </cfRule>
  </conditionalFormatting>
  <conditionalFormatting sqref="P37:Q39 S37:T38 Y37:Y39 AG37:AH39 S39">
    <cfRule type="expression" priority="1141" dxfId="1023" stopIfTrue="1">
      <formula>$C37=1</formula>
    </cfRule>
    <cfRule type="expression" priority="1142" dxfId="1021" stopIfTrue="1">
      <formula>OR($C37=0,$C37=2,$C37=3,$C37=4)</formula>
    </cfRule>
  </conditionalFormatting>
  <conditionalFormatting sqref="AJ37:AJ39">
    <cfRule type="expression" priority="1143" dxfId="1024" stopIfTrue="1">
      <formula>OR(ACOMPANHAMENTO&lt;&gt;"BM",TIPOORCAMENTO="Licitado")</formula>
    </cfRule>
    <cfRule type="expression" priority="1144" dxfId="1023" stopIfTrue="1">
      <formula>$C37=1</formula>
    </cfRule>
    <cfRule type="expression" priority="1145" dxfId="1021" stopIfTrue="1">
      <formula>OR(AND(ISNUMBER($C37),$C37=0),$C37=2,$C37=3,$C37=4)</formula>
    </cfRule>
  </conditionalFormatting>
  <conditionalFormatting sqref="AL37:AL39">
    <cfRule type="expression" priority="1146" dxfId="1024" stopIfTrue="1">
      <formula>TIPOORCAMENTO="PROPOSTO"</formula>
    </cfRule>
    <cfRule type="expression" priority="1147" dxfId="1023" stopIfTrue="1">
      <formula>$C37=1</formula>
    </cfRule>
    <cfRule type="expression" priority="1148" dxfId="1021" stopIfTrue="1">
      <formula>OR(AND(ISNUMBER($C37),$C37=0),$C37=2,$C37=3,$C37=4)</formula>
    </cfRule>
  </conditionalFormatting>
  <conditionalFormatting sqref="AM37:AN39">
    <cfRule type="expression" priority="1149" dxfId="1024" stopIfTrue="1">
      <formula>TIPOORCAMENTO="PROPOSTO"</formula>
    </cfRule>
    <cfRule type="expression" priority="1150" dxfId="1027" stopIfTrue="1">
      <formula>$C37=1</formula>
    </cfRule>
    <cfRule type="expression" priority="1151" dxfId="1019" stopIfTrue="1">
      <formula>OR(AND(ISNUMBER($C37),$C37=0),$C37=2,$C37=3,$C37=4)</formula>
    </cfRule>
  </conditionalFormatting>
  <conditionalFormatting sqref="V40:V42">
    <cfRule type="expression" priority="1132" dxfId="1020" stopIfTrue="1">
      <formula>$C40=1</formula>
    </cfRule>
    <cfRule type="expression" priority="1133" dxfId="1021" stopIfTrue="1">
      <formula>OR($C40=0,$C40=2,$C40=3,$C40=4)</formula>
    </cfRule>
    <cfRule type="expression" priority="1134" dxfId="1022" stopIfTrue="1">
      <formula>AND(TIPOORCAMENTO="Licitado",$C40&lt;&gt;"L",$C40&lt;&gt;-1)</formula>
    </cfRule>
  </conditionalFormatting>
  <conditionalFormatting sqref="U39:U42">
    <cfRule type="expression" priority="1129" dxfId="1020" stopIfTrue="1">
      <formula>$C39=1</formula>
    </cfRule>
    <cfRule type="expression" priority="1130" dxfId="1021" stopIfTrue="1">
      <formula>OR($C39=0,$C39=2,$C39=3,$C39=4)</formula>
    </cfRule>
    <cfRule type="expression" priority="1131" dxfId="1022" stopIfTrue="1">
      <formula>AND(TIPOORCAMENTO="Licitado",$C39&lt;&gt;"L",$C39&lt;&gt;-1)</formula>
    </cfRule>
  </conditionalFormatting>
  <conditionalFormatting sqref="U44:V45 U50:V51 V49 V46">
    <cfRule type="expression" priority="1126" dxfId="1020" stopIfTrue="1">
      <formula>$C44=1</formula>
    </cfRule>
    <cfRule type="expression" priority="1127" dxfId="1021" stopIfTrue="1">
      <formula>OR($C44=0,$C44=2,$C44=3,$C44=4)</formula>
    </cfRule>
    <cfRule type="expression" priority="1128" dxfId="1022" stopIfTrue="1">
      <formula>AND(TIPOORCAMENTO="Licitado",$C44&lt;&gt;"L",$C44&lt;&gt;-1)</formula>
    </cfRule>
  </conditionalFormatting>
  <conditionalFormatting sqref="M52">
    <cfRule type="cellIs" priority="1109" dxfId="1017" operator="notEqual" stopIfTrue="1">
      <formula>$N52</formula>
    </cfRule>
  </conditionalFormatting>
  <conditionalFormatting sqref="N52:O52 R52 W52:X52">
    <cfRule type="expression" priority="1110" dxfId="1018" stopIfTrue="1">
      <formula>$C52=1</formula>
    </cfRule>
    <cfRule type="expression" priority="1111" dxfId="1019" stopIfTrue="1">
      <formula>OR($C52=0,$C52=2,$C52=3,$C52=4)</formula>
    </cfRule>
  </conditionalFormatting>
  <conditionalFormatting sqref="V52">
    <cfRule type="expression" priority="1112" dxfId="1020" stopIfTrue="1">
      <formula>$C52=1</formula>
    </cfRule>
    <cfRule type="expression" priority="1113" dxfId="1021" stopIfTrue="1">
      <formula>OR($C52=0,$C52=2,$C52=3,$C52=4)</formula>
    </cfRule>
    <cfRule type="expression" priority="1114" dxfId="1022" stopIfTrue="1">
      <formula>AND(TIPOORCAMENTO="Licitado",$C52&lt;&gt;"L",$C52&lt;&gt;-1)</formula>
    </cfRule>
  </conditionalFormatting>
  <conditionalFormatting sqref="P52:Q52 S52 Y52 AG52:AH52">
    <cfRule type="expression" priority="1115" dxfId="1023" stopIfTrue="1">
      <formula>$C52=1</formula>
    </cfRule>
    <cfRule type="expression" priority="1116" dxfId="1021" stopIfTrue="1">
      <formula>OR($C52=0,$C52=2,$C52=3,$C52=4)</formula>
    </cfRule>
  </conditionalFormatting>
  <conditionalFormatting sqref="AJ52">
    <cfRule type="expression" priority="1117" dxfId="1024" stopIfTrue="1">
      <formula>OR(ACOMPANHAMENTO&lt;&gt;"BM",TIPOORCAMENTO="Licitado")</formula>
    </cfRule>
    <cfRule type="expression" priority="1118" dxfId="1023" stopIfTrue="1">
      <formula>$C52=1</formula>
    </cfRule>
    <cfRule type="expression" priority="1119" dxfId="1021" stopIfTrue="1">
      <formula>OR(AND(ISNUMBER($C52),$C52=0),$C52=2,$C52=3,$C52=4)</formula>
    </cfRule>
  </conditionalFormatting>
  <conditionalFormatting sqref="AL52">
    <cfRule type="expression" priority="1120" dxfId="1024" stopIfTrue="1">
      <formula>TIPOORCAMENTO="PROPOSTO"</formula>
    </cfRule>
    <cfRule type="expression" priority="1121" dxfId="1023" stopIfTrue="1">
      <formula>$C52=1</formula>
    </cfRule>
    <cfRule type="expression" priority="1122" dxfId="1021" stopIfTrue="1">
      <formula>OR(AND(ISNUMBER($C52),$C52=0),$C52=2,$C52=3,$C52=4)</formula>
    </cfRule>
  </conditionalFormatting>
  <conditionalFormatting sqref="AM52:AN52">
    <cfRule type="expression" priority="1123" dxfId="1024" stopIfTrue="1">
      <formula>TIPOORCAMENTO="PROPOSTO"</formula>
    </cfRule>
    <cfRule type="expression" priority="1124" dxfId="1027" stopIfTrue="1">
      <formula>$C52=1</formula>
    </cfRule>
    <cfRule type="expression" priority="1125" dxfId="1019" stopIfTrue="1">
      <formula>OR(AND(ISNUMBER($C52),$C52=0),$C52=2,$C52=3,$C52=4)</formula>
    </cfRule>
  </conditionalFormatting>
  <conditionalFormatting sqref="U49">
    <cfRule type="expression" priority="1106" dxfId="1020" stopIfTrue="1">
      <formula>$C49=1</formula>
    </cfRule>
    <cfRule type="expression" priority="1107" dxfId="1021" stopIfTrue="1">
      <formula>OR($C49=0,$C49=2,$C49=3,$C49=4)</formula>
    </cfRule>
    <cfRule type="expression" priority="1108" dxfId="1022" stopIfTrue="1">
      <formula>AND(TIPOORCAMENTO="Licitado",$C49&lt;&gt;"L",$C49&lt;&gt;-1)</formula>
    </cfRule>
  </conditionalFormatting>
  <conditionalFormatting sqref="U46">
    <cfRule type="expression" priority="1103" dxfId="1020" stopIfTrue="1">
      <formula>$C46=1</formula>
    </cfRule>
    <cfRule type="expression" priority="1104" dxfId="1021" stopIfTrue="1">
      <formula>OR($C46=0,$C46=2,$C46=3,$C46=4)</formula>
    </cfRule>
    <cfRule type="expression" priority="1105" dxfId="1022" stopIfTrue="1">
      <formula>AND(TIPOORCAMENTO="Licitado",$C46&lt;&gt;"L",$C46&lt;&gt;-1)</formula>
    </cfRule>
  </conditionalFormatting>
  <conditionalFormatting sqref="U52">
    <cfRule type="expression" priority="1100" dxfId="1020" stopIfTrue="1">
      <formula>$C52=1</formula>
    </cfRule>
    <cfRule type="expression" priority="1101" dxfId="1021" stopIfTrue="1">
      <formula>OR($C52=0,$C52=2,$C52=3,$C52=4)</formula>
    </cfRule>
    <cfRule type="expression" priority="1102" dxfId="1022" stopIfTrue="1">
      <formula>AND(TIPOORCAMENTO="Licitado",$C52&lt;&gt;"L",$C52&lt;&gt;-1)</formula>
    </cfRule>
  </conditionalFormatting>
  <conditionalFormatting sqref="U71:V71 U74:V75 V72:V73 U78:V78">
    <cfRule type="expression" priority="1086" dxfId="1020" stopIfTrue="1">
      <formula>$C71=1</formula>
    </cfRule>
    <cfRule type="expression" priority="1087" dxfId="1021" stopIfTrue="1">
      <formula>OR($C71=0,$C71=2,$C71=3,$C71=4)</formula>
    </cfRule>
    <cfRule type="expression" priority="1088" dxfId="1022" stopIfTrue="1">
      <formula>AND(TIPOORCAMENTO="Licitado",$C71&lt;&gt;"L",$C71&lt;&gt;-1)</formula>
    </cfRule>
  </conditionalFormatting>
  <conditionalFormatting sqref="S71:T71 S74:T75 S72:S73 S78:T78">
    <cfRule type="expression" priority="1089" dxfId="1023" stopIfTrue="1">
      <formula>$C71=1</formula>
    </cfRule>
    <cfRule type="expression" priority="1090" dxfId="1021" stopIfTrue="1">
      <formula>OR($C71=0,$C71=2,$C71=3,$C71=4)</formula>
    </cfRule>
  </conditionalFormatting>
  <conditionalFormatting sqref="M79 M81 M93:M99">
    <cfRule type="cellIs" priority="1066" dxfId="1017" operator="notEqual" stopIfTrue="1">
      <formula>$N79</formula>
    </cfRule>
  </conditionalFormatting>
  <conditionalFormatting sqref="N79:O79 R79 W79:X79 W81:X81 R81 N81:O81 N93:O99 R93:R98 W95:X97 W93:W94 W99:X99 W98">
    <cfRule type="expression" priority="1067" dxfId="1018" stopIfTrue="1">
      <formula>$C79=1</formula>
    </cfRule>
    <cfRule type="expression" priority="1068" dxfId="1019" stopIfTrue="1">
      <formula>OR($C79=0,$C79=2,$C79=3,$C79=4)</formula>
    </cfRule>
  </conditionalFormatting>
  <conditionalFormatting sqref="V79 U98:V98 V95:V97 V99 U93:V94 V81">
    <cfRule type="expression" priority="1069" dxfId="1020" stopIfTrue="1">
      <formula>$C79=1</formula>
    </cfRule>
    <cfRule type="expression" priority="1070" dxfId="1021" stopIfTrue="1">
      <formula>OR($C79=0,$C79=2,$C79=3,$C79=4)</formula>
    </cfRule>
    <cfRule type="expression" priority="1071" dxfId="1022" stopIfTrue="1">
      <formula>AND(TIPOORCAMENTO="Licitado",$C79&lt;&gt;"L",$C79&lt;&gt;-1)</formula>
    </cfRule>
  </conditionalFormatting>
  <conditionalFormatting sqref="P79:Q79 S79 Y79 AG79:AH79 AG81:AH81 Y81 S81 P81:Q81 P93:Q99 S93:T94 Y93:Y99 AG93:AH99 S98:T98 S95:S97 S99">
    <cfRule type="expression" priority="1072" dxfId="1023" stopIfTrue="1">
      <formula>$C79=1</formula>
    </cfRule>
    <cfRule type="expression" priority="1073" dxfId="1021" stopIfTrue="1">
      <formula>OR($C79=0,$C79=2,$C79=3,$C79=4)</formula>
    </cfRule>
  </conditionalFormatting>
  <conditionalFormatting sqref="AJ79 AJ81 AJ93:AJ99">
    <cfRule type="expression" priority="1074" dxfId="1024" stopIfTrue="1">
      <formula>OR(ACOMPANHAMENTO&lt;&gt;"BM",TIPOORCAMENTO="Licitado")</formula>
    </cfRule>
    <cfRule type="expression" priority="1075" dxfId="1023" stopIfTrue="1">
      <formula>$C79=1</formula>
    </cfRule>
    <cfRule type="expression" priority="1076" dxfId="1021" stopIfTrue="1">
      <formula>OR(AND(ISNUMBER($C79),$C79=0),$C79=2,$C79=3,$C79=4)</formula>
    </cfRule>
  </conditionalFormatting>
  <conditionalFormatting sqref="AL79 AL81 AL93:AL99">
    <cfRule type="expression" priority="1077" dxfId="1024" stopIfTrue="1">
      <formula>TIPOORCAMENTO="PROPOSTO"</formula>
    </cfRule>
    <cfRule type="expression" priority="1078" dxfId="1023" stopIfTrue="1">
      <formula>$C79=1</formula>
    </cfRule>
    <cfRule type="expression" priority="1079" dxfId="1021" stopIfTrue="1">
      <formula>OR(AND(ISNUMBER($C79),$C79=0),$C79=2,$C79=3,$C79=4)</formula>
    </cfRule>
  </conditionalFormatting>
  <conditionalFormatting sqref="AM79:AN79 AM81:AN81 AM93:AN99">
    <cfRule type="expression" priority="1080" dxfId="1024" stopIfTrue="1">
      <formula>TIPOORCAMENTO="PROPOSTO"</formula>
    </cfRule>
    <cfRule type="expression" priority="1081" dxfId="1027" stopIfTrue="1">
      <formula>$C79=1</formula>
    </cfRule>
    <cfRule type="expression" priority="1082" dxfId="1019" stopIfTrue="1">
      <formula>OR(AND(ISNUMBER($C79),$C79=0),$C79=2,$C79=3,$C79=4)</formula>
    </cfRule>
  </conditionalFormatting>
  <conditionalFormatting sqref="M121">
    <cfRule type="cellIs" priority="1049" dxfId="1017" operator="notEqual" stopIfTrue="1">
      <formula>$N121</formula>
    </cfRule>
  </conditionalFormatting>
  <conditionalFormatting sqref="N121:O121 W121:X121 R99">
    <cfRule type="expression" priority="1050" dxfId="1018" stopIfTrue="1">
      <formula>$C99=1</formula>
    </cfRule>
    <cfRule type="expression" priority="1051" dxfId="1019" stopIfTrue="1">
      <formula>OR($C99=0,$C99=2,$C99=3,$C99=4)</formula>
    </cfRule>
  </conditionalFormatting>
  <conditionalFormatting sqref="V121">
    <cfRule type="expression" priority="1052" dxfId="1020" stopIfTrue="1">
      <formula>$C121=1</formula>
    </cfRule>
    <cfRule type="expression" priority="1053" dxfId="1021" stopIfTrue="1">
      <formula>OR($C121=0,$C121=2,$C121=3,$C121=4)</formula>
    </cfRule>
    <cfRule type="expression" priority="1054" dxfId="1022" stopIfTrue="1">
      <formula>AND(TIPOORCAMENTO="Licitado",$C121&lt;&gt;"L",$C121&lt;&gt;-1)</formula>
    </cfRule>
  </conditionalFormatting>
  <conditionalFormatting sqref="P121:Q121 S121 Y121 AG121:AH121">
    <cfRule type="expression" priority="1055" dxfId="1023" stopIfTrue="1">
      <formula>$C121=1</formula>
    </cfRule>
    <cfRule type="expression" priority="1056" dxfId="1021" stopIfTrue="1">
      <formula>OR($C121=0,$C121=2,$C121=3,$C121=4)</formula>
    </cfRule>
  </conditionalFormatting>
  <conditionalFormatting sqref="AJ121">
    <cfRule type="expression" priority="1057" dxfId="1024" stopIfTrue="1">
      <formula>OR(ACOMPANHAMENTO&lt;&gt;"BM",TIPOORCAMENTO="Licitado")</formula>
    </cfRule>
    <cfRule type="expression" priority="1058" dxfId="1023" stopIfTrue="1">
      <formula>$C121=1</formula>
    </cfRule>
    <cfRule type="expression" priority="1059" dxfId="1021" stopIfTrue="1">
      <formula>OR(AND(ISNUMBER($C121),$C121=0),$C121=2,$C121=3,$C121=4)</formula>
    </cfRule>
  </conditionalFormatting>
  <conditionalFormatting sqref="AL121">
    <cfRule type="expression" priority="1060" dxfId="1024" stopIfTrue="1">
      <formula>TIPOORCAMENTO="PROPOSTO"</formula>
    </cfRule>
    <cfRule type="expression" priority="1061" dxfId="1023" stopIfTrue="1">
      <formula>$C121=1</formula>
    </cfRule>
    <cfRule type="expression" priority="1062" dxfId="1021" stopIfTrue="1">
      <formula>OR(AND(ISNUMBER($C121),$C121=0),$C121=2,$C121=3,$C121=4)</formula>
    </cfRule>
  </conditionalFormatting>
  <conditionalFormatting sqref="AM121:AN121">
    <cfRule type="expression" priority="1063" dxfId="1024" stopIfTrue="1">
      <formula>TIPOORCAMENTO="PROPOSTO"</formula>
    </cfRule>
    <cfRule type="expression" priority="1064" dxfId="1027" stopIfTrue="1">
      <formula>$C121=1</formula>
    </cfRule>
    <cfRule type="expression" priority="1065" dxfId="1019" stopIfTrue="1">
      <formula>OR(AND(ISNUMBER($C121),$C121=0),$C121=2,$C121=3,$C121=4)</formula>
    </cfRule>
  </conditionalFormatting>
  <conditionalFormatting sqref="U72:U73">
    <cfRule type="expression" priority="1046" dxfId="1020" stopIfTrue="1">
      <formula>$C72=1</formula>
    </cfRule>
    <cfRule type="expression" priority="1047" dxfId="1021" stopIfTrue="1">
      <formula>OR($C72=0,$C72=2,$C72=3,$C72=4)</formula>
    </cfRule>
    <cfRule type="expression" priority="1048" dxfId="1022" stopIfTrue="1">
      <formula>AND(TIPOORCAMENTO="Licitado",$C72&lt;&gt;"L",$C72&lt;&gt;-1)</formula>
    </cfRule>
  </conditionalFormatting>
  <conditionalFormatting sqref="U95:U97">
    <cfRule type="expression" priority="1040" dxfId="1020" stopIfTrue="1">
      <formula>$C95=1</formula>
    </cfRule>
    <cfRule type="expression" priority="1041" dxfId="1021" stopIfTrue="1">
      <formula>OR($C95=0,$C95=2,$C95=3,$C95=4)</formula>
    </cfRule>
    <cfRule type="expression" priority="1042" dxfId="1022" stopIfTrue="1">
      <formula>AND(TIPOORCAMENTO="Licitado",$C95&lt;&gt;"L",$C95&lt;&gt;-1)</formula>
    </cfRule>
  </conditionalFormatting>
  <conditionalFormatting sqref="M100 M112:M119">
    <cfRule type="cellIs" priority="1023" dxfId="1017" operator="notEqual" stopIfTrue="1">
      <formula>$N100</formula>
    </cfRule>
  </conditionalFormatting>
  <conditionalFormatting sqref="W100:X100 R100 N100:O100 N112:O119 R112:R119 W114:X116 W112:W113 W119:X119 W117:W118">
    <cfRule type="expression" priority="1024" dxfId="1018" stopIfTrue="1">
      <formula>$C100=1</formula>
    </cfRule>
    <cfRule type="expression" priority="1025" dxfId="1019" stopIfTrue="1">
      <formula>OR($C100=0,$C100=2,$C100=3,$C100=4)</formula>
    </cfRule>
  </conditionalFormatting>
  <conditionalFormatting sqref="U112:V113 V100 U117:V118 V114:V116 V119">
    <cfRule type="expression" priority="1026" dxfId="1020" stopIfTrue="1">
      <formula>$C100=1</formula>
    </cfRule>
    <cfRule type="expression" priority="1027" dxfId="1021" stopIfTrue="1">
      <formula>OR($C100=0,$C100=2,$C100=3,$C100=4)</formula>
    </cfRule>
    <cfRule type="expression" priority="1028" dxfId="1022" stopIfTrue="1">
      <formula>AND(TIPOORCAMENTO="Licitado",$C100&lt;&gt;"L",$C100&lt;&gt;-1)</formula>
    </cfRule>
  </conditionalFormatting>
  <conditionalFormatting sqref="AG100:AH100 Y100 S100 P100:Q100 P112:Q119 S112:T113 Y112:Y119 AG112:AH119 S117:T118 S114:S116 S119">
    <cfRule type="expression" priority="1029" dxfId="1023" stopIfTrue="1">
      <formula>$C100=1</formula>
    </cfRule>
    <cfRule type="expression" priority="1030" dxfId="1021" stopIfTrue="1">
      <formula>OR($C100=0,$C100=2,$C100=3,$C100=4)</formula>
    </cfRule>
  </conditionalFormatting>
  <conditionalFormatting sqref="AJ112:AJ119">
    <cfRule type="expression" priority="1031" dxfId="1024" stopIfTrue="1">
      <formula>OR(ACOMPANHAMENTO&lt;&gt;"BM",TIPOORCAMENTO="Licitado")</formula>
    </cfRule>
    <cfRule type="expression" priority="1032" dxfId="1023" stopIfTrue="1">
      <formula>$C112=1</formula>
    </cfRule>
    <cfRule type="expression" priority="1033" dxfId="1021" stopIfTrue="1">
      <formula>OR(AND(ISNUMBER($C112),$C112=0),$C112=2,$C112=3,$C112=4)</formula>
    </cfRule>
  </conditionalFormatting>
  <conditionalFormatting sqref="AL100 AL112:AL119">
    <cfRule type="expression" priority="1034" dxfId="1024" stopIfTrue="1">
      <formula>TIPOORCAMENTO="PROPOSTO"</formula>
    </cfRule>
    <cfRule type="expression" priority="1035" dxfId="1023" stopIfTrue="1">
      <formula>$C100=1</formula>
    </cfRule>
    <cfRule type="expression" priority="1036" dxfId="1021" stopIfTrue="1">
      <formula>OR(AND(ISNUMBER($C100),$C100=0),$C100=2,$C100=3,$C100=4)</formula>
    </cfRule>
  </conditionalFormatting>
  <conditionalFormatting sqref="AM100:AN100 AM112:AN119">
    <cfRule type="expression" priority="1037" dxfId="1024" stopIfTrue="1">
      <formula>TIPOORCAMENTO="PROPOSTO"</formula>
    </cfRule>
    <cfRule type="expression" priority="1038" dxfId="1027" stopIfTrue="1">
      <formula>$C100=1</formula>
    </cfRule>
    <cfRule type="expression" priority="1039" dxfId="1019" stopIfTrue="1">
      <formula>OR(AND(ISNUMBER($C100),$C100=0),$C100=2,$C100=3,$C100=4)</formula>
    </cfRule>
  </conditionalFormatting>
  <conditionalFormatting sqref="M120">
    <cfRule type="cellIs" priority="1009" dxfId="1017" operator="notEqual" stopIfTrue="1">
      <formula>$N120</formula>
    </cfRule>
  </conditionalFormatting>
  <conditionalFormatting sqref="N120:O120 W120:X120 R120:R121">
    <cfRule type="expression" priority="1010" dxfId="1018" stopIfTrue="1">
      <formula>$C120=1</formula>
    </cfRule>
    <cfRule type="expression" priority="1011" dxfId="1019" stopIfTrue="1">
      <formula>OR($C120=0,$C120=2,$C120=3,$C120=4)</formula>
    </cfRule>
  </conditionalFormatting>
  <conditionalFormatting sqref="V120">
    <cfRule type="expression" priority="1012" dxfId="1020" stopIfTrue="1">
      <formula>$C120=1</formula>
    </cfRule>
    <cfRule type="expression" priority="1013" dxfId="1021" stopIfTrue="1">
      <formula>OR($C120=0,$C120=2,$C120=3,$C120=4)</formula>
    </cfRule>
    <cfRule type="expression" priority="1014" dxfId="1022" stopIfTrue="1">
      <formula>AND(TIPOORCAMENTO="Licitado",$C120&lt;&gt;"L",$C120&lt;&gt;-1)</formula>
    </cfRule>
  </conditionalFormatting>
  <conditionalFormatting sqref="P120:Q120 S120 Y120 AG120:AH120">
    <cfRule type="expression" priority="1015" dxfId="1023" stopIfTrue="1">
      <formula>$C120=1</formula>
    </cfRule>
    <cfRule type="expression" priority="1016" dxfId="1021" stopIfTrue="1">
      <formula>OR($C120=0,$C120=2,$C120=3,$C120=4)</formula>
    </cfRule>
  </conditionalFormatting>
  <conditionalFormatting sqref="AL120">
    <cfRule type="expression" priority="1017" dxfId="1024" stopIfTrue="1">
      <formula>TIPOORCAMENTO="PROPOSTO"</formula>
    </cfRule>
    <cfRule type="expression" priority="1018" dxfId="1023" stopIfTrue="1">
      <formula>$C120=1</formula>
    </cfRule>
    <cfRule type="expression" priority="1019" dxfId="1021" stopIfTrue="1">
      <formula>OR(AND(ISNUMBER($C120),$C120=0),$C120=2,$C120=3,$C120=4)</formula>
    </cfRule>
  </conditionalFormatting>
  <conditionalFormatting sqref="AM120:AN120">
    <cfRule type="expression" priority="1020" dxfId="1024" stopIfTrue="1">
      <formula>TIPOORCAMENTO="PROPOSTO"</formula>
    </cfRule>
    <cfRule type="expression" priority="1021" dxfId="1027" stopIfTrue="1">
      <formula>$C120=1</formula>
    </cfRule>
    <cfRule type="expression" priority="1022" dxfId="1019" stopIfTrue="1">
      <formula>OR(AND(ISNUMBER($C120),$C120=0),$C120=2,$C120=3,$C120=4)</formula>
    </cfRule>
  </conditionalFormatting>
  <conditionalFormatting sqref="U99:U111">
    <cfRule type="expression" priority="1006" dxfId="1020" stopIfTrue="1">
      <formula>$C99=1</formula>
    </cfRule>
    <cfRule type="expression" priority="1007" dxfId="1021" stopIfTrue="1">
      <formula>OR($C99=0,$C99=2,$C99=3,$C99=4)</formula>
    </cfRule>
    <cfRule type="expression" priority="1008" dxfId="1022" stopIfTrue="1">
      <formula>AND(TIPOORCAMENTO="Licitado",$C99&lt;&gt;"L",$C99&lt;&gt;-1)</formula>
    </cfRule>
  </conditionalFormatting>
  <conditionalFormatting sqref="AJ122">
    <cfRule type="expression" priority="1003" dxfId="1024" stopIfTrue="1">
      <formula>OR(ACOMPANHAMENTO&lt;&gt;"BM",TIPOORCAMENTO="Licitado")</formula>
    </cfRule>
    <cfRule type="expression" priority="1004" dxfId="1023" stopIfTrue="1">
      <formula>$C122=1</formula>
    </cfRule>
    <cfRule type="expression" priority="1005" dxfId="1021" stopIfTrue="1">
      <formula>OR(AND(ISNUMBER($C122),$C122=0),$C122=2,$C122=3,$C122=4)</formula>
    </cfRule>
  </conditionalFormatting>
  <conditionalFormatting sqref="M196:M197 M142">
    <cfRule type="cellIs" priority="986" dxfId="1017" operator="notEqual" stopIfTrue="1">
      <formula>$N142</formula>
    </cfRule>
  </conditionalFormatting>
  <conditionalFormatting sqref="W196:W197 R196:R197 N196:O197 N142:O142 R142 W142">
    <cfRule type="expression" priority="987" dxfId="1018" stopIfTrue="1">
      <formula>$C142=1</formula>
    </cfRule>
    <cfRule type="expression" priority="988" dxfId="1019" stopIfTrue="1">
      <formula>OR($C142=0,$C142=2,$C142=3,$C142=4)</formula>
    </cfRule>
  </conditionalFormatting>
  <conditionalFormatting sqref="V196:V197 V142">
    <cfRule type="expression" priority="989" dxfId="1020" stopIfTrue="1">
      <formula>$C142=1</formula>
    </cfRule>
    <cfRule type="expression" priority="990" dxfId="1021" stopIfTrue="1">
      <formula>OR($C142=0,$C142=2,$C142=3,$C142=4)</formula>
    </cfRule>
    <cfRule type="expression" priority="991" dxfId="1022" stopIfTrue="1">
      <formula>AND(TIPOORCAMENTO="Licitado",$C142&lt;&gt;"L",$C142&lt;&gt;-1)</formula>
    </cfRule>
  </conditionalFormatting>
  <conditionalFormatting sqref="AG196:AH197 Y196:Y197 S196:T197 P196:Q197 P142:Q142 S142:T142 Y142 AG142:AH142 S141">
    <cfRule type="expression" priority="992" dxfId="1023" stopIfTrue="1">
      <formula>$C141=1</formula>
    </cfRule>
    <cfRule type="expression" priority="993" dxfId="1021" stopIfTrue="1">
      <formula>OR($C141=0,$C141=2,$C141=3,$C141=4)</formula>
    </cfRule>
  </conditionalFormatting>
  <conditionalFormatting sqref="AJ196:AJ197 AJ142">
    <cfRule type="expression" priority="994" dxfId="1024" stopIfTrue="1">
      <formula>OR(ACOMPANHAMENTO&lt;&gt;"BM",TIPOORCAMENTO="Licitado")</formula>
    </cfRule>
    <cfRule type="expression" priority="995" dxfId="1023" stopIfTrue="1">
      <formula>$C142=1</formula>
    </cfRule>
    <cfRule type="expression" priority="996" dxfId="1021" stopIfTrue="1">
      <formula>OR(AND(ISNUMBER($C142),$C142=0),$C142=2,$C142=3,$C142=4)</formula>
    </cfRule>
  </conditionalFormatting>
  <conditionalFormatting sqref="AL196:AL197 AL142">
    <cfRule type="expression" priority="997" dxfId="1024" stopIfTrue="1">
      <formula>TIPOORCAMENTO="PROPOSTO"</formula>
    </cfRule>
    <cfRule type="expression" priority="998" dxfId="1023" stopIfTrue="1">
      <formula>$C142=1</formula>
    </cfRule>
    <cfRule type="expression" priority="999" dxfId="1021" stopIfTrue="1">
      <formula>OR(AND(ISNUMBER($C142),$C142=0),$C142=2,$C142=3,$C142=4)</formula>
    </cfRule>
  </conditionalFormatting>
  <conditionalFormatting sqref="AM196:AN197 AM142:AN142">
    <cfRule type="expression" priority="1000" dxfId="1024" stopIfTrue="1">
      <formula>TIPOORCAMENTO="PROPOSTO"</formula>
    </cfRule>
    <cfRule type="expression" priority="1001" dxfId="1027" stopIfTrue="1">
      <formula>$C142=1</formula>
    </cfRule>
    <cfRule type="expression" priority="1002" dxfId="1019" stopIfTrue="1">
      <formula>OR(AND(ISNUMBER($C142),$C142=0),$C142=2,$C142=3,$C142=4)</formula>
    </cfRule>
  </conditionalFormatting>
  <conditionalFormatting sqref="M198:M199">
    <cfRule type="cellIs" priority="969" dxfId="1017" operator="notEqual" stopIfTrue="1">
      <formula>$N198</formula>
    </cfRule>
  </conditionalFormatting>
  <conditionalFormatting sqref="N198:O199 R198:R199 W198:X199">
    <cfRule type="expression" priority="970" dxfId="1018" stopIfTrue="1">
      <formula>$C198=1</formula>
    </cfRule>
    <cfRule type="expression" priority="971" dxfId="1019" stopIfTrue="1">
      <formula>OR($C198=0,$C198=2,$C198=3,$C198=4)</formula>
    </cfRule>
  </conditionalFormatting>
  <conditionalFormatting sqref="V198:V199">
    <cfRule type="expression" priority="972" dxfId="1020" stopIfTrue="1">
      <formula>$C198=1</formula>
    </cfRule>
    <cfRule type="expression" priority="973" dxfId="1021" stopIfTrue="1">
      <formula>OR($C198=0,$C198=2,$C198=3,$C198=4)</formula>
    </cfRule>
    <cfRule type="expression" priority="974" dxfId="1022" stopIfTrue="1">
      <formula>AND(TIPOORCAMENTO="Licitado",$C198&lt;&gt;"L",$C198&lt;&gt;-1)</formula>
    </cfRule>
  </conditionalFormatting>
  <conditionalFormatting sqref="P198:Q199 S198:S199 Y198:Y199 AG198:AH199">
    <cfRule type="expression" priority="975" dxfId="1023" stopIfTrue="1">
      <formula>$C198=1</formula>
    </cfRule>
    <cfRule type="expression" priority="976" dxfId="1021" stopIfTrue="1">
      <formula>OR($C198=0,$C198=2,$C198=3,$C198=4)</formula>
    </cfRule>
  </conditionalFormatting>
  <conditionalFormatting sqref="AJ198:AJ199">
    <cfRule type="expression" priority="977" dxfId="1024" stopIfTrue="1">
      <formula>OR(ACOMPANHAMENTO&lt;&gt;"BM",TIPOORCAMENTO="Licitado")</formula>
    </cfRule>
    <cfRule type="expression" priority="978" dxfId="1023" stopIfTrue="1">
      <formula>$C198=1</formula>
    </cfRule>
    <cfRule type="expression" priority="979" dxfId="1021" stopIfTrue="1">
      <formula>OR(AND(ISNUMBER($C198),$C198=0),$C198=2,$C198=3,$C198=4)</formula>
    </cfRule>
  </conditionalFormatting>
  <conditionalFormatting sqref="AL198:AL199">
    <cfRule type="expression" priority="980" dxfId="1024" stopIfTrue="1">
      <formula>TIPOORCAMENTO="PROPOSTO"</formula>
    </cfRule>
    <cfRule type="expression" priority="981" dxfId="1023" stopIfTrue="1">
      <formula>$C198=1</formula>
    </cfRule>
    <cfRule type="expression" priority="982" dxfId="1021" stopIfTrue="1">
      <formula>OR(AND(ISNUMBER($C198),$C198=0),$C198=2,$C198=3,$C198=4)</formula>
    </cfRule>
  </conditionalFormatting>
  <conditionalFormatting sqref="AM198:AN199">
    <cfRule type="expression" priority="983" dxfId="1024" stopIfTrue="1">
      <formula>TIPOORCAMENTO="PROPOSTO"</formula>
    </cfRule>
    <cfRule type="expression" priority="984" dxfId="1027" stopIfTrue="1">
      <formula>$C198=1</formula>
    </cfRule>
    <cfRule type="expression" priority="985" dxfId="1019" stopIfTrue="1">
      <formula>OR(AND(ISNUMBER($C198),$C198=0),$C198=2,$C198=3,$C198=4)</formula>
    </cfRule>
  </conditionalFormatting>
  <conditionalFormatting sqref="U114:U116">
    <cfRule type="expression" priority="966" dxfId="1020" stopIfTrue="1">
      <formula>$C114=1</formula>
    </cfRule>
    <cfRule type="expression" priority="967" dxfId="1021" stopIfTrue="1">
      <formula>OR($C114=0,$C114=2,$C114=3,$C114=4)</formula>
    </cfRule>
    <cfRule type="expression" priority="968" dxfId="1022" stopIfTrue="1">
      <formula>AND(TIPOORCAMENTO="Licitado",$C114&lt;&gt;"L",$C114&lt;&gt;-1)</formula>
    </cfRule>
  </conditionalFormatting>
  <conditionalFormatting sqref="AJ120">
    <cfRule type="expression" priority="963" dxfId="1024" stopIfTrue="1">
      <formula>OR(ACOMPANHAMENTO&lt;&gt;"BM",TIPOORCAMENTO="Licitado")</formula>
    </cfRule>
    <cfRule type="expression" priority="964" dxfId="1023" stopIfTrue="1">
      <formula>$C120=1</formula>
    </cfRule>
    <cfRule type="expression" priority="965" dxfId="1021" stopIfTrue="1">
      <formula>OR(AND(ISNUMBER($C120),$C120=0),$C120=2,$C120=3,$C120=4)</formula>
    </cfRule>
  </conditionalFormatting>
  <conditionalFormatting sqref="AJ123">
    <cfRule type="expression" priority="960" dxfId="1024" stopIfTrue="1">
      <formula>OR(ACOMPANHAMENTO&lt;&gt;"BM",TIPOORCAMENTO="Licitado")</formula>
    </cfRule>
    <cfRule type="expression" priority="961" dxfId="1023" stopIfTrue="1">
      <formula>$C123=1</formula>
    </cfRule>
    <cfRule type="expression" priority="962" dxfId="1021" stopIfTrue="1">
      <formula>OR(AND(ISNUMBER($C123),$C123=0),$C123=2,$C123=3,$C123=4)</formula>
    </cfRule>
  </conditionalFormatting>
  <conditionalFormatting sqref="AJ124">
    <cfRule type="expression" priority="957" dxfId="1024" stopIfTrue="1">
      <formula>OR(ACOMPANHAMENTO&lt;&gt;"BM",TIPOORCAMENTO="Licitado")</formula>
    </cfRule>
    <cfRule type="expression" priority="958" dxfId="1023" stopIfTrue="1">
      <formula>$C124=1</formula>
    </cfRule>
    <cfRule type="expression" priority="959" dxfId="1021" stopIfTrue="1">
      <formula>OR(AND(ISNUMBER($C124),$C124=0),$C124=2,$C124=3,$C124=4)</formula>
    </cfRule>
  </conditionalFormatting>
  <conditionalFormatting sqref="M200:M202">
    <cfRule type="cellIs" priority="940" dxfId="1017" operator="notEqual" stopIfTrue="1">
      <formula>$N200</formula>
    </cfRule>
  </conditionalFormatting>
  <conditionalFormatting sqref="N200:O202 R200:R202 W201:X202 W200">
    <cfRule type="expression" priority="941" dxfId="1018" stopIfTrue="1">
      <formula>$C200=1</formula>
    </cfRule>
    <cfRule type="expression" priority="942" dxfId="1019" stopIfTrue="1">
      <formula>OR($C200=0,$C200=2,$C200=3,$C200=4)</formula>
    </cfRule>
  </conditionalFormatting>
  <conditionalFormatting sqref="U200:V200 V201:V202">
    <cfRule type="expression" priority="943" dxfId="1020" stopIfTrue="1">
      <formula>$C200=1</formula>
    </cfRule>
    <cfRule type="expression" priority="944" dxfId="1021" stopIfTrue="1">
      <formula>OR($C200=0,$C200=2,$C200=3,$C200=4)</formula>
    </cfRule>
    <cfRule type="expression" priority="945" dxfId="1022" stopIfTrue="1">
      <formula>AND(TIPOORCAMENTO="Licitado",$C200&lt;&gt;"L",$C200&lt;&gt;-1)</formula>
    </cfRule>
  </conditionalFormatting>
  <conditionalFormatting sqref="P200:Q202 S200:T200 Y200:Y202 AG200:AH202 S201:S202">
    <cfRule type="expression" priority="946" dxfId="1023" stopIfTrue="1">
      <formula>$C200=1</formula>
    </cfRule>
    <cfRule type="expression" priority="947" dxfId="1021" stopIfTrue="1">
      <formula>OR($C200=0,$C200=2,$C200=3,$C200=4)</formula>
    </cfRule>
  </conditionalFormatting>
  <conditionalFormatting sqref="AJ200:AJ202">
    <cfRule type="expression" priority="948" dxfId="1024" stopIfTrue="1">
      <formula>OR(ACOMPANHAMENTO&lt;&gt;"BM",TIPOORCAMENTO="Licitado")</formula>
    </cfRule>
    <cfRule type="expression" priority="949" dxfId="1023" stopIfTrue="1">
      <formula>$C200=1</formula>
    </cfRule>
    <cfRule type="expression" priority="950" dxfId="1021" stopIfTrue="1">
      <formula>OR(AND(ISNUMBER($C200),$C200=0),$C200=2,$C200=3,$C200=4)</formula>
    </cfRule>
  </conditionalFormatting>
  <conditionalFormatting sqref="AL200:AL202">
    <cfRule type="expression" priority="951" dxfId="1024" stopIfTrue="1">
      <formula>TIPOORCAMENTO="PROPOSTO"</formula>
    </cfRule>
    <cfRule type="expression" priority="952" dxfId="1023" stopIfTrue="1">
      <formula>$C200=1</formula>
    </cfRule>
    <cfRule type="expression" priority="953" dxfId="1021" stopIfTrue="1">
      <formula>OR(AND(ISNUMBER($C200),$C200=0),$C200=2,$C200=3,$C200=4)</formula>
    </cfRule>
  </conditionalFormatting>
  <conditionalFormatting sqref="AM200:AN202">
    <cfRule type="expression" priority="954" dxfId="1024" stopIfTrue="1">
      <formula>TIPOORCAMENTO="PROPOSTO"</formula>
    </cfRule>
    <cfRule type="expression" priority="955" dxfId="1027" stopIfTrue="1">
      <formula>$C200=1</formula>
    </cfRule>
    <cfRule type="expression" priority="956" dxfId="1019" stopIfTrue="1">
      <formula>OR(AND(ISNUMBER($C200),$C200=0),$C200=2,$C200=3,$C200=4)</formula>
    </cfRule>
  </conditionalFormatting>
  <conditionalFormatting sqref="U201:U202">
    <cfRule type="expression" priority="937" dxfId="1020" stopIfTrue="1">
      <formula>$C201=1</formula>
    </cfRule>
    <cfRule type="expression" priority="938" dxfId="1021" stopIfTrue="1">
      <formula>OR($C201=0,$C201=2,$C201=3,$C201=4)</formula>
    </cfRule>
    <cfRule type="expression" priority="939" dxfId="1022" stopIfTrue="1">
      <formula>AND(TIPOORCAMENTO="Licitado",$C201&lt;&gt;"L",$C201&lt;&gt;-1)</formula>
    </cfRule>
  </conditionalFormatting>
  <conditionalFormatting sqref="M203:M204 M209">
    <cfRule type="cellIs" priority="920" dxfId="1017" operator="notEqual" stopIfTrue="1">
      <formula>$N203</formula>
    </cfRule>
  </conditionalFormatting>
  <conditionalFormatting sqref="N203:O204 R203:R204 W203:X204 W209 R209 N209:O209">
    <cfRule type="expression" priority="921" dxfId="1018" stopIfTrue="1">
      <formula>$C203=1</formula>
    </cfRule>
    <cfRule type="expression" priority="922" dxfId="1019" stopIfTrue="1">
      <formula>OR($C203=0,$C203=2,$C203=3,$C203=4)</formula>
    </cfRule>
  </conditionalFormatting>
  <conditionalFormatting sqref="U209:V209 V203:V204">
    <cfRule type="expression" priority="923" dxfId="1020" stopIfTrue="1">
      <formula>$C203=1</formula>
    </cfRule>
    <cfRule type="expression" priority="924" dxfId="1021" stopIfTrue="1">
      <formula>OR($C203=0,$C203=2,$C203=3,$C203=4)</formula>
    </cfRule>
    <cfRule type="expression" priority="925" dxfId="1022" stopIfTrue="1">
      <formula>AND(TIPOORCAMENTO="Licitado",$C203&lt;&gt;"L",$C203&lt;&gt;-1)</formula>
    </cfRule>
  </conditionalFormatting>
  <conditionalFormatting sqref="P203:Q204 S203:S204 Y203:Y204 AG203:AH204 AG209:AH209 Y209 S209:T209 P209:Q209">
    <cfRule type="expression" priority="926" dxfId="1023" stopIfTrue="1">
      <formula>$C203=1</formula>
    </cfRule>
    <cfRule type="expression" priority="927" dxfId="1021" stopIfTrue="1">
      <formula>OR($C203=0,$C203=2,$C203=3,$C203=4)</formula>
    </cfRule>
  </conditionalFormatting>
  <conditionalFormatting sqref="AJ203:AJ204 AJ209">
    <cfRule type="expression" priority="928" dxfId="1024" stopIfTrue="1">
      <formula>OR(ACOMPANHAMENTO&lt;&gt;"BM",TIPOORCAMENTO="Licitado")</formula>
    </cfRule>
    <cfRule type="expression" priority="929" dxfId="1023" stopIfTrue="1">
      <formula>$C203=1</formula>
    </cfRule>
    <cfRule type="expression" priority="930" dxfId="1021" stopIfTrue="1">
      <formula>OR(AND(ISNUMBER($C203),$C203=0),$C203=2,$C203=3,$C203=4)</formula>
    </cfRule>
  </conditionalFormatting>
  <conditionalFormatting sqref="AL203:AL204 AL209">
    <cfRule type="expression" priority="931" dxfId="1024" stopIfTrue="1">
      <formula>TIPOORCAMENTO="PROPOSTO"</formula>
    </cfRule>
    <cfRule type="expression" priority="932" dxfId="1023" stopIfTrue="1">
      <formula>$C203=1</formula>
    </cfRule>
    <cfRule type="expression" priority="933" dxfId="1021" stopIfTrue="1">
      <formula>OR(AND(ISNUMBER($C203),$C203=0),$C203=2,$C203=3,$C203=4)</formula>
    </cfRule>
  </conditionalFormatting>
  <conditionalFormatting sqref="AM203:AN204 AM209:AN209">
    <cfRule type="expression" priority="934" dxfId="1024" stopIfTrue="1">
      <formula>TIPOORCAMENTO="PROPOSTO"</formula>
    </cfRule>
    <cfRule type="expression" priority="935" dxfId="1027" stopIfTrue="1">
      <formula>$C203=1</formula>
    </cfRule>
    <cfRule type="expression" priority="936" dxfId="1019" stopIfTrue="1">
      <formula>OR(AND(ISNUMBER($C203),$C203=0),$C203=2,$C203=3,$C203=4)</formula>
    </cfRule>
  </conditionalFormatting>
  <conditionalFormatting sqref="U203">
    <cfRule type="expression" priority="917" dxfId="1020" stopIfTrue="1">
      <formula>$C203=1</formula>
    </cfRule>
    <cfRule type="expression" priority="918" dxfId="1021" stopIfTrue="1">
      <formula>OR($C203=0,$C203=2,$C203=3,$C203=4)</formula>
    </cfRule>
    <cfRule type="expression" priority="919" dxfId="1022" stopIfTrue="1">
      <formula>AND(TIPOORCAMENTO="Licitado",$C203&lt;&gt;"L",$C203&lt;&gt;-1)</formula>
    </cfRule>
  </conditionalFormatting>
  <conditionalFormatting sqref="U210:V210 V215:V216">
    <cfRule type="expression" priority="914" dxfId="1020" stopIfTrue="1">
      <formula>$C210=1</formula>
    </cfRule>
    <cfRule type="expression" priority="915" dxfId="1021" stopIfTrue="1">
      <formula>OR($C210=0,$C210=2,$C210=3,$C210=4)</formula>
    </cfRule>
    <cfRule type="expression" priority="916" dxfId="1022" stopIfTrue="1">
      <formula>AND(TIPOORCAMENTO="Licitado",$C210&lt;&gt;"L",$C210&lt;&gt;-1)</formula>
    </cfRule>
  </conditionalFormatting>
  <conditionalFormatting sqref="U215:U216 U219:U222">
    <cfRule type="expression" priority="911" dxfId="1020" stopIfTrue="1">
      <formula>$C215=1</formula>
    </cfRule>
    <cfRule type="expression" priority="912" dxfId="1021" stopIfTrue="1">
      <formula>OR($C215=0,$C215=2,$C215=3,$C215=4)</formula>
    </cfRule>
    <cfRule type="expression" priority="913" dxfId="1022" stopIfTrue="1">
      <formula>AND(TIPOORCAMENTO="Licitado",$C215&lt;&gt;"L",$C215&lt;&gt;-1)</formula>
    </cfRule>
  </conditionalFormatting>
  <conditionalFormatting sqref="M143:M145 M149:M154">
    <cfRule type="cellIs" priority="894" dxfId="1017" operator="notEqual" stopIfTrue="1">
      <formula>$N143</formula>
    </cfRule>
  </conditionalFormatting>
  <conditionalFormatting sqref="N143:O145 R143:R145 W143:X145 W152:X154 R149:R154 N149:O154 W149:W151">
    <cfRule type="expression" priority="895" dxfId="1018" stopIfTrue="1">
      <formula>$C143=1</formula>
    </cfRule>
    <cfRule type="expression" priority="896" dxfId="1019" stopIfTrue="1">
      <formula>OR($C143=0,$C143=2,$C143=3,$C143=4)</formula>
    </cfRule>
  </conditionalFormatting>
  <conditionalFormatting sqref="U149:V151 V143:V145 V152:V154">
    <cfRule type="expression" priority="897" dxfId="1020" stopIfTrue="1">
      <formula>$C143=1</formula>
    </cfRule>
    <cfRule type="expression" priority="898" dxfId="1021" stopIfTrue="1">
      <formula>OR($C143=0,$C143=2,$C143=3,$C143=4)</formula>
    </cfRule>
    <cfRule type="expression" priority="899" dxfId="1022" stopIfTrue="1">
      <formula>AND(TIPOORCAMENTO="Licitado",$C143&lt;&gt;"L",$C143&lt;&gt;-1)</formula>
    </cfRule>
  </conditionalFormatting>
  <conditionalFormatting sqref="P143:Q145 S143:S145 Y143:Y145 AG143:AH145 AG149:AH154 Y149:Y154 S149:T151 P149:Q154 S152:S154">
    <cfRule type="expression" priority="900" dxfId="1023" stopIfTrue="1">
      <formula>$C143=1</formula>
    </cfRule>
    <cfRule type="expression" priority="901" dxfId="1021" stopIfTrue="1">
      <formula>OR($C143=0,$C143=2,$C143=3,$C143=4)</formula>
    </cfRule>
  </conditionalFormatting>
  <conditionalFormatting sqref="AJ149:AJ154">
    <cfRule type="expression" priority="902" dxfId="1024" stopIfTrue="1">
      <formula>OR(ACOMPANHAMENTO&lt;&gt;"BM",TIPOORCAMENTO="Licitado")</formula>
    </cfRule>
    <cfRule type="expression" priority="903" dxfId="1023" stopIfTrue="1">
      <formula>$C149=1</formula>
    </cfRule>
    <cfRule type="expression" priority="904" dxfId="1021" stopIfTrue="1">
      <formula>OR(AND(ISNUMBER($C149),$C149=0),$C149=2,$C149=3,$C149=4)</formula>
    </cfRule>
  </conditionalFormatting>
  <conditionalFormatting sqref="AL143:AL145 AL149:AL154">
    <cfRule type="expression" priority="905" dxfId="1024" stopIfTrue="1">
      <formula>TIPOORCAMENTO="PROPOSTO"</formula>
    </cfRule>
    <cfRule type="expression" priority="906" dxfId="1023" stopIfTrue="1">
      <formula>$C143=1</formula>
    </cfRule>
    <cfRule type="expression" priority="907" dxfId="1021" stopIfTrue="1">
      <formula>OR(AND(ISNUMBER($C143),$C143=0),$C143=2,$C143=3,$C143=4)</formula>
    </cfRule>
  </conditionalFormatting>
  <conditionalFormatting sqref="AM143:AN145 AM149:AN154">
    <cfRule type="expression" priority="908" dxfId="1024" stopIfTrue="1">
      <formula>TIPOORCAMENTO="PROPOSTO"</formula>
    </cfRule>
    <cfRule type="expression" priority="909" dxfId="1027" stopIfTrue="1">
      <formula>$C143=1</formula>
    </cfRule>
    <cfRule type="expression" priority="910" dxfId="1019" stopIfTrue="1">
      <formula>OR(AND(ISNUMBER($C143),$C143=0),$C143=2,$C143=3,$C143=4)</formula>
    </cfRule>
  </conditionalFormatting>
  <conditionalFormatting sqref="U143:U144">
    <cfRule type="expression" priority="874" dxfId="1020" stopIfTrue="1">
      <formula>$C143=1</formula>
    </cfRule>
    <cfRule type="expression" priority="875" dxfId="1021" stopIfTrue="1">
      <formula>OR($C143=0,$C143=2,$C143=3,$C143=4)</formula>
    </cfRule>
    <cfRule type="expression" priority="876" dxfId="1022" stopIfTrue="1">
      <formula>AND(TIPOORCAMENTO="Licitado",$C143&lt;&gt;"L",$C143&lt;&gt;-1)</formula>
    </cfRule>
  </conditionalFormatting>
  <conditionalFormatting sqref="U145">
    <cfRule type="expression" priority="871" dxfId="1020" stopIfTrue="1">
      <formula>$C145=1</formula>
    </cfRule>
    <cfRule type="expression" priority="872" dxfId="1021" stopIfTrue="1">
      <formula>OR($C145=0,$C145=2,$C145=3,$C145=4)</formula>
    </cfRule>
    <cfRule type="expression" priority="873" dxfId="1022" stopIfTrue="1">
      <formula>AND(TIPOORCAMENTO="Licitado",$C145&lt;&gt;"L",$C145&lt;&gt;-1)</formula>
    </cfRule>
  </conditionalFormatting>
  <conditionalFormatting sqref="M140">
    <cfRule type="cellIs" priority="857" dxfId="1017" operator="notEqual" stopIfTrue="1">
      <formula>$N140</formula>
    </cfRule>
  </conditionalFormatting>
  <conditionalFormatting sqref="N140:O140 R140 W140:X140">
    <cfRule type="expression" priority="858" dxfId="1018" stopIfTrue="1">
      <formula>$C140=1</formula>
    </cfRule>
    <cfRule type="expression" priority="859" dxfId="1019" stopIfTrue="1">
      <formula>OR($C140=0,$C140=2,$C140=3,$C140=4)</formula>
    </cfRule>
  </conditionalFormatting>
  <conditionalFormatting sqref="V140">
    <cfRule type="expression" priority="860" dxfId="1020" stopIfTrue="1">
      <formula>$C140=1</formula>
    </cfRule>
    <cfRule type="expression" priority="861" dxfId="1021" stopIfTrue="1">
      <formula>OR($C140=0,$C140=2,$C140=3,$C140=4)</formula>
    </cfRule>
    <cfRule type="expression" priority="862" dxfId="1022" stopIfTrue="1">
      <formula>AND(TIPOORCAMENTO="Licitado",$C140&lt;&gt;"L",$C140&lt;&gt;-1)</formula>
    </cfRule>
  </conditionalFormatting>
  <conditionalFormatting sqref="P140:Q140 S140 Y140 AG140:AH140">
    <cfRule type="expression" priority="863" dxfId="1023" stopIfTrue="1">
      <formula>$C140=1</formula>
    </cfRule>
    <cfRule type="expression" priority="864" dxfId="1021" stopIfTrue="1">
      <formula>OR($C140=0,$C140=2,$C140=3,$C140=4)</formula>
    </cfRule>
  </conditionalFormatting>
  <conditionalFormatting sqref="AL140">
    <cfRule type="expression" priority="865" dxfId="1024" stopIfTrue="1">
      <formula>TIPOORCAMENTO="PROPOSTO"</formula>
    </cfRule>
    <cfRule type="expression" priority="866" dxfId="1023" stopIfTrue="1">
      <formula>$C140=1</formula>
    </cfRule>
    <cfRule type="expression" priority="867" dxfId="1021" stopIfTrue="1">
      <formula>OR(AND(ISNUMBER($C140),$C140=0),$C140=2,$C140=3,$C140=4)</formula>
    </cfRule>
  </conditionalFormatting>
  <conditionalFormatting sqref="AM140:AN140">
    <cfRule type="expression" priority="868" dxfId="1024" stopIfTrue="1">
      <formula>TIPOORCAMENTO="PROPOSTO"</formula>
    </cfRule>
    <cfRule type="expression" priority="869" dxfId="1027" stopIfTrue="1">
      <formula>$C140=1</formula>
    </cfRule>
    <cfRule type="expression" priority="870" dxfId="1019" stopIfTrue="1">
      <formula>OR(AND(ISNUMBER($C140),$C140=0),$C140=2,$C140=3,$C140=4)</formula>
    </cfRule>
  </conditionalFormatting>
  <conditionalFormatting sqref="AJ140">
    <cfRule type="expression" priority="854" dxfId="1024" stopIfTrue="1">
      <formula>OR(ACOMPANHAMENTO&lt;&gt;"BM",TIPOORCAMENTO="Licitado")</formula>
    </cfRule>
    <cfRule type="expression" priority="855" dxfId="1023" stopIfTrue="1">
      <formula>$C140=1</formula>
    </cfRule>
    <cfRule type="expression" priority="856" dxfId="1021" stopIfTrue="1">
      <formula>OR(AND(ISNUMBER($C140),$C140=0),$C140=2,$C140=3,$C140=4)</formula>
    </cfRule>
  </conditionalFormatting>
  <conditionalFormatting sqref="AJ143:AJ145">
    <cfRule type="expression" priority="834" dxfId="1024" stopIfTrue="1">
      <formula>OR(ACOMPANHAMENTO&lt;&gt;"BM",TIPOORCAMENTO="Licitado")</formula>
    </cfRule>
    <cfRule type="expression" priority="835" dxfId="1023" stopIfTrue="1">
      <formula>$C143=1</formula>
    </cfRule>
    <cfRule type="expression" priority="836" dxfId="1021" stopIfTrue="1">
      <formula>OR(AND(ISNUMBER($C143),$C143=0),$C143=2,$C143=3,$C143=4)</formula>
    </cfRule>
  </conditionalFormatting>
  <conditionalFormatting sqref="M80">
    <cfRule type="cellIs" priority="817" dxfId="1017" operator="notEqual" stopIfTrue="1">
      <formula>$N80</formula>
    </cfRule>
  </conditionalFormatting>
  <conditionalFormatting sqref="N80:O80 R80 W80:X80">
    <cfRule type="expression" priority="818" dxfId="1018" stopIfTrue="1">
      <formula>$C80=1</formula>
    </cfRule>
    <cfRule type="expression" priority="819" dxfId="1019" stopIfTrue="1">
      <formula>OR($C80=0,$C80=2,$C80=3,$C80=4)</formula>
    </cfRule>
  </conditionalFormatting>
  <conditionalFormatting sqref="V80">
    <cfRule type="expression" priority="820" dxfId="1020" stopIfTrue="1">
      <formula>$C80=1</formula>
    </cfRule>
    <cfRule type="expression" priority="821" dxfId="1021" stopIfTrue="1">
      <formula>OR($C80=0,$C80=2,$C80=3,$C80=4)</formula>
    </cfRule>
    <cfRule type="expression" priority="822" dxfId="1022" stopIfTrue="1">
      <formula>AND(TIPOORCAMENTO="Licitado",$C80&lt;&gt;"L",$C80&lt;&gt;-1)</formula>
    </cfRule>
  </conditionalFormatting>
  <conditionalFormatting sqref="P80:Q80 S80 Y80 AG80:AH80">
    <cfRule type="expression" priority="823" dxfId="1023" stopIfTrue="1">
      <formula>$C80=1</formula>
    </cfRule>
    <cfRule type="expression" priority="824" dxfId="1021" stopIfTrue="1">
      <formula>OR($C80=0,$C80=2,$C80=3,$C80=4)</formula>
    </cfRule>
  </conditionalFormatting>
  <conditionalFormatting sqref="AJ80">
    <cfRule type="expression" priority="825" dxfId="1024" stopIfTrue="1">
      <formula>OR(ACOMPANHAMENTO&lt;&gt;"BM",TIPOORCAMENTO="Licitado")</formula>
    </cfRule>
    <cfRule type="expression" priority="826" dxfId="1023" stopIfTrue="1">
      <formula>$C80=1</formula>
    </cfRule>
    <cfRule type="expression" priority="827" dxfId="1021" stopIfTrue="1">
      <formula>OR(AND(ISNUMBER($C80),$C80=0),$C80=2,$C80=3,$C80=4)</formula>
    </cfRule>
  </conditionalFormatting>
  <conditionalFormatting sqref="AL80">
    <cfRule type="expression" priority="828" dxfId="1024" stopIfTrue="1">
      <formula>TIPOORCAMENTO="PROPOSTO"</formula>
    </cfRule>
    <cfRule type="expression" priority="829" dxfId="1023" stopIfTrue="1">
      <formula>$C80=1</formula>
    </cfRule>
    <cfRule type="expression" priority="830" dxfId="1021" stopIfTrue="1">
      <formula>OR(AND(ISNUMBER($C80),$C80=0),$C80=2,$C80=3,$C80=4)</formula>
    </cfRule>
  </conditionalFormatting>
  <conditionalFormatting sqref="AM80:AN80">
    <cfRule type="expression" priority="831" dxfId="1024" stopIfTrue="1">
      <formula>TIPOORCAMENTO="PROPOSTO"</formula>
    </cfRule>
    <cfRule type="expression" priority="832" dxfId="1027" stopIfTrue="1">
      <formula>$C80=1</formula>
    </cfRule>
    <cfRule type="expression" priority="833" dxfId="1019" stopIfTrue="1">
      <formula>OR(AND(ISNUMBER($C80),$C80=0),$C80=2,$C80=3,$C80=4)</formula>
    </cfRule>
  </conditionalFormatting>
  <conditionalFormatting sqref="U79:U81">
    <cfRule type="expression" priority="814" dxfId="1020" stopIfTrue="1">
      <formula>$C79=1</formula>
    </cfRule>
    <cfRule type="expression" priority="815" dxfId="1021" stopIfTrue="1">
      <formula>OR($C79=0,$C79=2,$C79=3,$C79=4)</formula>
    </cfRule>
    <cfRule type="expression" priority="816" dxfId="1022" stopIfTrue="1">
      <formula>AND(TIPOORCAMENTO="Licitado",$C79&lt;&gt;"L",$C79&lt;&gt;-1)</formula>
    </cfRule>
  </conditionalFormatting>
  <conditionalFormatting sqref="U152">
    <cfRule type="expression" priority="811" dxfId="1020" stopIfTrue="1">
      <formula>$C152=1</formula>
    </cfRule>
    <cfRule type="expression" priority="812" dxfId="1021" stopIfTrue="1">
      <formula>OR($C152=0,$C152=2,$C152=3,$C152=4)</formula>
    </cfRule>
    <cfRule type="expression" priority="813" dxfId="1022" stopIfTrue="1">
      <formula>AND(TIPOORCAMENTO="Licitado",$C152&lt;&gt;"L",$C152&lt;&gt;-1)</formula>
    </cfRule>
  </conditionalFormatting>
  <conditionalFormatting sqref="M155:M160 M170:M172">
    <cfRule type="cellIs" priority="794" dxfId="1017" operator="notEqual" stopIfTrue="1">
      <formula>$N155</formula>
    </cfRule>
  </conditionalFormatting>
  <conditionalFormatting sqref="N155:O160 R155:R160 W155:X156 W170:X171 R170:R172 N170:O172 W160:X160 W157:W159 W172">
    <cfRule type="expression" priority="795" dxfId="1018" stopIfTrue="1">
      <formula>$C155=1</formula>
    </cfRule>
    <cfRule type="expression" priority="796" dxfId="1019" stopIfTrue="1">
      <formula>OR($C155=0,$C155=2,$C155=3,$C155=4)</formula>
    </cfRule>
  </conditionalFormatting>
  <conditionalFormatting sqref="U157:V159 V155:V156 U172:V172 V160 V170:V171">
    <cfRule type="expression" priority="797" dxfId="1020" stopIfTrue="1">
      <formula>$C155=1</formula>
    </cfRule>
    <cfRule type="expression" priority="798" dxfId="1021" stopIfTrue="1">
      <formula>OR($C155=0,$C155=2,$C155=3,$C155=4)</formula>
    </cfRule>
    <cfRule type="expression" priority="799" dxfId="1022" stopIfTrue="1">
      <formula>AND(TIPOORCAMENTO="Licitado",$C155&lt;&gt;"L",$C155&lt;&gt;-1)</formula>
    </cfRule>
  </conditionalFormatting>
  <conditionalFormatting sqref="P155:Q159 S157:T159 Y155:Y160 AG155:AH160 AG170:AH172 Y170:Y172 S172:T172 P172:Q172 S155:S156 S160 S170:S171">
    <cfRule type="expression" priority="800" dxfId="1023" stopIfTrue="1">
      <formula>$C155=1</formula>
    </cfRule>
    <cfRule type="expression" priority="801" dxfId="1021" stopIfTrue="1">
      <formula>OR($C155=0,$C155=2,$C155=3,$C155=4)</formula>
    </cfRule>
  </conditionalFormatting>
  <conditionalFormatting sqref="AJ155:AJ159 AJ170:AJ172">
    <cfRule type="expression" priority="802" dxfId="1024" stopIfTrue="1">
      <formula>OR(ACOMPANHAMENTO&lt;&gt;"BM",TIPOORCAMENTO="Licitado")</formula>
    </cfRule>
    <cfRule type="expression" priority="803" dxfId="1023" stopIfTrue="1">
      <formula>$C155=1</formula>
    </cfRule>
    <cfRule type="expression" priority="804" dxfId="1021" stopIfTrue="1">
      <formula>OR(AND(ISNUMBER($C155),$C155=0),$C155=2,$C155=3,$C155=4)</formula>
    </cfRule>
  </conditionalFormatting>
  <conditionalFormatting sqref="AL155:AL160 AL170:AL172">
    <cfRule type="expression" priority="805" dxfId="1024" stopIfTrue="1">
      <formula>TIPOORCAMENTO="PROPOSTO"</formula>
    </cfRule>
    <cfRule type="expression" priority="806" dxfId="1023" stopIfTrue="1">
      <formula>$C155=1</formula>
    </cfRule>
    <cfRule type="expression" priority="807" dxfId="1021" stopIfTrue="1">
      <formula>OR(AND(ISNUMBER($C155),$C155=0),$C155=2,$C155=3,$C155=4)</formula>
    </cfRule>
  </conditionalFormatting>
  <conditionalFormatting sqref="AM155:AN160 AM170:AN172">
    <cfRule type="expression" priority="808" dxfId="1024" stopIfTrue="1">
      <formula>TIPOORCAMENTO="PROPOSTO"</formula>
    </cfRule>
    <cfRule type="expression" priority="809" dxfId="1027" stopIfTrue="1">
      <formula>$C155=1</formula>
    </cfRule>
    <cfRule type="expression" priority="810" dxfId="1019" stopIfTrue="1">
      <formula>OR(AND(ISNUMBER($C155),$C155=0),$C155=2,$C155=3,$C155=4)</formula>
    </cfRule>
  </conditionalFormatting>
  <conditionalFormatting sqref="U153:U154">
    <cfRule type="expression" priority="791" dxfId="1020" stopIfTrue="1">
      <formula>$C153=1</formula>
    </cfRule>
    <cfRule type="expression" priority="792" dxfId="1021" stopIfTrue="1">
      <formula>OR($C153=0,$C153=2,$C153=3,$C153=4)</formula>
    </cfRule>
    <cfRule type="expression" priority="793" dxfId="1022" stopIfTrue="1">
      <formula>AND(TIPOORCAMENTO="Licitado",$C153&lt;&gt;"L",$C153&lt;&gt;-1)</formula>
    </cfRule>
  </conditionalFormatting>
  <conditionalFormatting sqref="U155:U156">
    <cfRule type="expression" priority="788" dxfId="1020" stopIfTrue="1">
      <formula>$C155=1</formula>
    </cfRule>
    <cfRule type="expression" priority="789" dxfId="1021" stopIfTrue="1">
      <formula>OR($C155=0,$C155=2,$C155=3,$C155=4)</formula>
    </cfRule>
    <cfRule type="expression" priority="790" dxfId="1022" stopIfTrue="1">
      <formula>AND(TIPOORCAMENTO="Licitado",$C155&lt;&gt;"L",$C155&lt;&gt;-1)</formula>
    </cfRule>
  </conditionalFormatting>
  <conditionalFormatting sqref="U148">
    <cfRule type="expression" priority="785" dxfId="1020" stopIfTrue="1">
      <formula>$C148=1</formula>
    </cfRule>
    <cfRule type="expression" priority="786" dxfId="1021" stopIfTrue="1">
      <formula>OR($C148=0,$C148=2,$C148=3,$C148=4)</formula>
    </cfRule>
    <cfRule type="expression" priority="787" dxfId="1022" stopIfTrue="1">
      <formula>AND(TIPOORCAMENTO="Licitado",$C148&lt;&gt;"L",$C148&lt;&gt;-1)</formula>
    </cfRule>
  </conditionalFormatting>
  <conditionalFormatting sqref="P205:Q205">
    <cfRule type="expression" priority="783" dxfId="1023" stopIfTrue="1">
      <formula>$C205=1</formula>
    </cfRule>
    <cfRule type="expression" priority="784" dxfId="1021" stopIfTrue="1">
      <formula>OR($C205=0,$C205=2,$C205=3,$C205=4)</formula>
    </cfRule>
  </conditionalFormatting>
  <conditionalFormatting sqref="P206:Q207 P208">
    <cfRule type="expression" priority="781" dxfId="1023" stopIfTrue="1">
      <formula>$C206=1</formula>
    </cfRule>
    <cfRule type="expression" priority="782" dxfId="1021" stopIfTrue="1">
      <formula>OR($C206=0,$C206=2,$C206=3,$C206=4)</formula>
    </cfRule>
  </conditionalFormatting>
  <conditionalFormatting sqref="U165:V167 V161:V164 V168">
    <cfRule type="expression" priority="767" dxfId="1020" stopIfTrue="1">
      <formula>$C161=1</formula>
    </cfRule>
    <cfRule type="expression" priority="768" dxfId="1021" stopIfTrue="1">
      <formula>OR($C161=0,$C161=2,$C161=3,$C161=4)</formula>
    </cfRule>
    <cfRule type="expression" priority="769" dxfId="1022" stopIfTrue="1">
      <formula>AND(TIPOORCAMENTO="Licitado",$C161&lt;&gt;"L",$C161&lt;&gt;-1)</formula>
    </cfRule>
  </conditionalFormatting>
  <conditionalFormatting sqref="P165:Q168 S165:T167 S161:S164 S168">
    <cfRule type="expression" priority="770" dxfId="1023" stopIfTrue="1">
      <formula>$C161=1</formula>
    </cfRule>
    <cfRule type="expression" priority="771" dxfId="1021" stopIfTrue="1">
      <formula>OR($C161=0,$C161=2,$C161=3,$C161=4)</formula>
    </cfRule>
  </conditionalFormatting>
  <conditionalFormatting sqref="M169">
    <cfRule type="cellIs" priority="747" dxfId="1017" operator="notEqual" stopIfTrue="1">
      <formula>$N169</formula>
    </cfRule>
  </conditionalFormatting>
  <conditionalFormatting sqref="N169:O169 R169 W169">
    <cfRule type="expression" priority="748" dxfId="1018" stopIfTrue="1">
      <formula>$C169=1</formula>
    </cfRule>
    <cfRule type="expression" priority="749" dxfId="1019" stopIfTrue="1">
      <formula>OR($C169=0,$C169=2,$C169=3,$C169=4)</formula>
    </cfRule>
  </conditionalFormatting>
  <conditionalFormatting sqref="U169:V169">
    <cfRule type="expression" priority="750" dxfId="1020" stopIfTrue="1">
      <formula>$C169=1</formula>
    </cfRule>
    <cfRule type="expression" priority="751" dxfId="1021" stopIfTrue="1">
      <formula>OR($C169=0,$C169=2,$C169=3,$C169=4)</formula>
    </cfRule>
    <cfRule type="expression" priority="752" dxfId="1022" stopIfTrue="1">
      <formula>AND(TIPOORCAMENTO="Licitado",$C169&lt;&gt;"L",$C169&lt;&gt;-1)</formula>
    </cfRule>
  </conditionalFormatting>
  <conditionalFormatting sqref="P169:Q169 S169:T169 Y169 AG169:AH169">
    <cfRule type="expression" priority="753" dxfId="1023" stopIfTrue="1">
      <formula>$C169=1</formula>
    </cfRule>
    <cfRule type="expression" priority="754" dxfId="1021" stopIfTrue="1">
      <formula>OR($C169=0,$C169=2,$C169=3,$C169=4)</formula>
    </cfRule>
  </conditionalFormatting>
  <conditionalFormatting sqref="AJ169">
    <cfRule type="expression" priority="755" dxfId="1024" stopIfTrue="1">
      <formula>OR(ACOMPANHAMENTO&lt;&gt;"BM",TIPOORCAMENTO="Licitado")</formula>
    </cfRule>
    <cfRule type="expression" priority="756" dxfId="1023" stopIfTrue="1">
      <formula>$C169=1</formula>
    </cfRule>
    <cfRule type="expression" priority="757" dxfId="1021" stopIfTrue="1">
      <formula>OR(AND(ISNUMBER($C169),$C169=0),$C169=2,$C169=3,$C169=4)</formula>
    </cfRule>
  </conditionalFormatting>
  <conditionalFormatting sqref="AL169">
    <cfRule type="expression" priority="758" dxfId="1024" stopIfTrue="1">
      <formula>TIPOORCAMENTO="PROPOSTO"</formula>
    </cfRule>
    <cfRule type="expression" priority="759" dxfId="1023" stopIfTrue="1">
      <formula>$C169=1</formula>
    </cfRule>
    <cfRule type="expression" priority="760" dxfId="1021" stopIfTrue="1">
      <formula>OR(AND(ISNUMBER($C169),$C169=0),$C169=2,$C169=3,$C169=4)</formula>
    </cfRule>
  </conditionalFormatting>
  <conditionalFormatting sqref="AM169:AN169">
    <cfRule type="expression" priority="761" dxfId="1024" stopIfTrue="1">
      <formula>TIPOORCAMENTO="PROPOSTO"</formula>
    </cfRule>
    <cfRule type="expression" priority="762" dxfId="1027" stopIfTrue="1">
      <formula>$C169=1</formula>
    </cfRule>
    <cfRule type="expression" priority="763" dxfId="1019" stopIfTrue="1">
      <formula>OR(AND(ISNUMBER($C169),$C169=0),$C169=2,$C169=3,$C169=4)</formula>
    </cfRule>
  </conditionalFormatting>
  <conditionalFormatting sqref="P160:Q162">
    <cfRule type="expression" priority="745" dxfId="1023" stopIfTrue="1">
      <formula>$C160=1</formula>
    </cfRule>
    <cfRule type="expression" priority="746" dxfId="1021" stopIfTrue="1">
      <formula>OR($C160=0,$C160=2,$C160=3,$C160=4)</formula>
    </cfRule>
  </conditionalFormatting>
  <conditionalFormatting sqref="U160:U162">
    <cfRule type="expression" priority="742" dxfId="1020" stopIfTrue="1">
      <formula>$C160=1</formula>
    </cfRule>
    <cfRule type="expression" priority="743" dxfId="1021" stopIfTrue="1">
      <formula>OR($C160=0,$C160=2,$C160=3,$C160=4)</formula>
    </cfRule>
    <cfRule type="expression" priority="744" dxfId="1022" stopIfTrue="1">
      <formula>AND(TIPOORCAMENTO="Licitado",$C160&lt;&gt;"L",$C160&lt;&gt;-1)</formula>
    </cfRule>
  </conditionalFormatting>
  <conditionalFormatting sqref="AJ160:AJ161">
    <cfRule type="expression" priority="739" dxfId="1024" stopIfTrue="1">
      <formula>OR(ACOMPANHAMENTO&lt;&gt;"BM",TIPOORCAMENTO="Licitado")</formula>
    </cfRule>
    <cfRule type="expression" priority="740" dxfId="1023" stopIfTrue="1">
      <formula>$C160=1</formula>
    </cfRule>
    <cfRule type="expression" priority="741" dxfId="1021" stopIfTrue="1">
      <formula>OR(AND(ISNUMBER($C160),$C160=0),$C160=2,$C160=3,$C160=4)</formula>
    </cfRule>
  </conditionalFormatting>
  <conditionalFormatting sqref="AJ162">
    <cfRule type="expression" priority="736" dxfId="1024" stopIfTrue="1">
      <formula>OR(ACOMPANHAMENTO&lt;&gt;"BM",TIPOORCAMENTO="Licitado")</formula>
    </cfRule>
    <cfRule type="expression" priority="737" dxfId="1023" stopIfTrue="1">
      <formula>$C162=1</formula>
    </cfRule>
    <cfRule type="expression" priority="738" dxfId="1021" stopIfTrue="1">
      <formula>OR(AND(ISNUMBER($C162),$C162=0),$C162=2,$C162=3,$C162=4)</formula>
    </cfRule>
  </conditionalFormatting>
  <conditionalFormatting sqref="P163:Q164">
    <cfRule type="expression" priority="734" dxfId="1023" stopIfTrue="1">
      <formula>$C163=1</formula>
    </cfRule>
    <cfRule type="expression" priority="735" dxfId="1021" stopIfTrue="1">
      <formula>OR($C163=0,$C163=2,$C163=3,$C163=4)</formula>
    </cfRule>
  </conditionalFormatting>
  <conditionalFormatting sqref="U163:U164">
    <cfRule type="expression" priority="731" dxfId="1020" stopIfTrue="1">
      <formula>$C163=1</formula>
    </cfRule>
    <cfRule type="expression" priority="732" dxfId="1021" stopIfTrue="1">
      <formula>OR($C163=0,$C163=2,$C163=3,$C163=4)</formula>
    </cfRule>
    <cfRule type="expression" priority="733" dxfId="1022" stopIfTrue="1">
      <formula>AND(TIPOORCAMENTO="Licitado",$C163&lt;&gt;"L",$C163&lt;&gt;-1)</formula>
    </cfRule>
  </conditionalFormatting>
  <conditionalFormatting sqref="U168">
    <cfRule type="expression" priority="728" dxfId="1020" stopIfTrue="1">
      <formula>$C168=1</formula>
    </cfRule>
    <cfRule type="expression" priority="729" dxfId="1021" stopIfTrue="1">
      <formula>OR($C168=0,$C168=2,$C168=3,$C168=4)</formula>
    </cfRule>
    <cfRule type="expression" priority="730" dxfId="1022" stopIfTrue="1">
      <formula>AND(TIPOORCAMENTO="Licitado",$C168&lt;&gt;"L",$C168&lt;&gt;-1)</formula>
    </cfRule>
  </conditionalFormatting>
  <conditionalFormatting sqref="U196">
    <cfRule type="expression" priority="725" dxfId="1020" stopIfTrue="1">
      <formula>$C196=1</formula>
    </cfRule>
    <cfRule type="expression" priority="726" dxfId="1021" stopIfTrue="1">
      <formula>OR($C196=0,$C196=2,$C196=3,$C196=4)</formula>
    </cfRule>
    <cfRule type="expression" priority="727" dxfId="1022" stopIfTrue="1">
      <formula>AND(TIPOORCAMENTO="Licitado",$C196&lt;&gt;"L",$C196&lt;&gt;-1)</formula>
    </cfRule>
  </conditionalFormatting>
  <conditionalFormatting sqref="P170:Q171">
    <cfRule type="expression" priority="723" dxfId="1023" stopIfTrue="1">
      <formula>$C170=1</formula>
    </cfRule>
    <cfRule type="expression" priority="724" dxfId="1021" stopIfTrue="1">
      <formula>OR($C170=0,$C170=2,$C170=3,$C170=4)</formula>
    </cfRule>
  </conditionalFormatting>
  <conditionalFormatting sqref="M173:M181">
    <cfRule type="cellIs" priority="706" dxfId="1017" operator="notEqual" stopIfTrue="1">
      <formula>$N173</formula>
    </cfRule>
  </conditionalFormatting>
  <conditionalFormatting sqref="N173:O181 R173:R181 W175:X176 W173:W174 W180:X181 W177:W179">
    <cfRule type="expression" priority="707" dxfId="1018" stopIfTrue="1">
      <formula>$C173=1</formula>
    </cfRule>
    <cfRule type="expression" priority="708" dxfId="1019" stopIfTrue="1">
      <formula>OR($C173=0,$C173=2,$C173=3,$C173=4)</formula>
    </cfRule>
  </conditionalFormatting>
  <conditionalFormatting sqref="U173:V174 U177:V179 V175:V176 V180:V181">
    <cfRule type="expression" priority="709" dxfId="1020" stopIfTrue="1">
      <formula>$C173=1</formula>
    </cfRule>
    <cfRule type="expression" priority="710" dxfId="1021" stopIfTrue="1">
      <formula>OR($C173=0,$C173=2,$C173=3,$C173=4)</formula>
    </cfRule>
    <cfRule type="expression" priority="711" dxfId="1022" stopIfTrue="1">
      <formula>AND(TIPOORCAMENTO="Licitado",$C173&lt;&gt;"L",$C173&lt;&gt;-1)</formula>
    </cfRule>
  </conditionalFormatting>
  <conditionalFormatting sqref="P173:Q181 S173:T174 Y173:Y181 AG173:AH181 S177:T179 S175:S176 S180:S181">
    <cfRule type="expression" priority="712" dxfId="1023" stopIfTrue="1">
      <formula>$C173=1</formula>
    </cfRule>
    <cfRule type="expression" priority="713" dxfId="1021" stopIfTrue="1">
      <formula>OR($C173=0,$C173=2,$C173=3,$C173=4)</formula>
    </cfRule>
  </conditionalFormatting>
  <conditionalFormatting sqref="AJ173:AJ181">
    <cfRule type="expression" priority="714" dxfId="1024" stopIfTrue="1">
      <formula>OR(ACOMPANHAMENTO&lt;&gt;"BM",TIPOORCAMENTO="Licitado")</formula>
    </cfRule>
    <cfRule type="expression" priority="715" dxfId="1023" stopIfTrue="1">
      <formula>$C173=1</formula>
    </cfRule>
    <cfRule type="expression" priority="716" dxfId="1021" stopIfTrue="1">
      <formula>OR(AND(ISNUMBER($C173),$C173=0),$C173=2,$C173=3,$C173=4)</formula>
    </cfRule>
  </conditionalFormatting>
  <conditionalFormatting sqref="AL173:AL181">
    <cfRule type="expression" priority="717" dxfId="1024" stopIfTrue="1">
      <formula>TIPOORCAMENTO="PROPOSTO"</formula>
    </cfRule>
    <cfRule type="expression" priority="718" dxfId="1023" stopIfTrue="1">
      <formula>$C173=1</formula>
    </cfRule>
    <cfRule type="expression" priority="719" dxfId="1021" stopIfTrue="1">
      <formula>OR(AND(ISNUMBER($C173),$C173=0),$C173=2,$C173=3,$C173=4)</formula>
    </cfRule>
  </conditionalFormatting>
  <conditionalFormatting sqref="AM173:AN181">
    <cfRule type="expression" priority="720" dxfId="1024" stopIfTrue="1">
      <formula>TIPOORCAMENTO="PROPOSTO"</formula>
    </cfRule>
    <cfRule type="expression" priority="721" dxfId="1027" stopIfTrue="1">
      <formula>$C173=1</formula>
    </cfRule>
    <cfRule type="expression" priority="722" dxfId="1019" stopIfTrue="1">
      <formula>OR(AND(ISNUMBER($C173),$C173=0),$C173=2,$C173=3,$C173=4)</formula>
    </cfRule>
  </conditionalFormatting>
  <conditionalFormatting sqref="M182">
    <cfRule type="cellIs" priority="689" dxfId="1017" operator="notEqual" stopIfTrue="1">
      <formula>$N182</formula>
    </cfRule>
  </conditionalFormatting>
  <conditionalFormatting sqref="N182:O182 R182 W182">
    <cfRule type="expression" priority="690" dxfId="1018" stopIfTrue="1">
      <formula>$C182=1</formula>
    </cfRule>
    <cfRule type="expression" priority="691" dxfId="1019" stopIfTrue="1">
      <formula>OR($C182=0,$C182=2,$C182=3,$C182=4)</formula>
    </cfRule>
  </conditionalFormatting>
  <conditionalFormatting sqref="U182:V182">
    <cfRule type="expression" priority="692" dxfId="1020" stopIfTrue="1">
      <formula>$C182=1</formula>
    </cfRule>
    <cfRule type="expression" priority="693" dxfId="1021" stopIfTrue="1">
      <formula>OR($C182=0,$C182=2,$C182=3,$C182=4)</formula>
    </cfRule>
    <cfRule type="expression" priority="694" dxfId="1022" stopIfTrue="1">
      <formula>AND(TIPOORCAMENTO="Licitado",$C182&lt;&gt;"L",$C182&lt;&gt;-1)</formula>
    </cfRule>
  </conditionalFormatting>
  <conditionalFormatting sqref="P182:Q182 S182:T182 Y182 AG182:AH182">
    <cfRule type="expression" priority="695" dxfId="1023" stopIfTrue="1">
      <formula>$C182=1</formula>
    </cfRule>
    <cfRule type="expression" priority="696" dxfId="1021" stopIfTrue="1">
      <formula>OR($C182=0,$C182=2,$C182=3,$C182=4)</formula>
    </cfRule>
  </conditionalFormatting>
  <conditionalFormatting sqref="AJ182">
    <cfRule type="expression" priority="697" dxfId="1024" stopIfTrue="1">
      <formula>OR(ACOMPANHAMENTO&lt;&gt;"BM",TIPOORCAMENTO="Licitado")</formula>
    </cfRule>
    <cfRule type="expression" priority="698" dxfId="1023" stopIfTrue="1">
      <formula>$C182=1</formula>
    </cfRule>
    <cfRule type="expression" priority="699" dxfId="1021" stopIfTrue="1">
      <formula>OR(AND(ISNUMBER($C182),$C182=0),$C182=2,$C182=3,$C182=4)</formula>
    </cfRule>
  </conditionalFormatting>
  <conditionalFormatting sqref="AL182">
    <cfRule type="expression" priority="700" dxfId="1024" stopIfTrue="1">
      <formula>TIPOORCAMENTO="PROPOSTO"</formula>
    </cfRule>
    <cfRule type="expression" priority="701" dxfId="1023" stopIfTrue="1">
      <formula>$C182=1</formula>
    </cfRule>
    <cfRule type="expression" priority="702" dxfId="1021" stopIfTrue="1">
      <formula>OR(AND(ISNUMBER($C182),$C182=0),$C182=2,$C182=3,$C182=4)</formula>
    </cfRule>
  </conditionalFormatting>
  <conditionalFormatting sqref="AM182:AN182">
    <cfRule type="expression" priority="703" dxfId="1024" stopIfTrue="1">
      <formula>TIPOORCAMENTO="PROPOSTO"</formula>
    </cfRule>
    <cfRule type="expression" priority="704" dxfId="1027" stopIfTrue="1">
      <formula>$C182=1</formula>
    </cfRule>
    <cfRule type="expression" priority="705" dxfId="1019" stopIfTrue="1">
      <formula>OR(AND(ISNUMBER($C182),$C182=0),$C182=2,$C182=3,$C182=4)</formula>
    </cfRule>
  </conditionalFormatting>
  <conditionalFormatting sqref="U170:U171">
    <cfRule type="expression" priority="686" dxfId="1020" stopIfTrue="1">
      <formula>$C170=1</formula>
    </cfRule>
    <cfRule type="expression" priority="687" dxfId="1021" stopIfTrue="1">
      <formula>OR($C170=0,$C170=2,$C170=3,$C170=4)</formula>
    </cfRule>
    <cfRule type="expression" priority="688" dxfId="1022" stopIfTrue="1">
      <formula>AND(TIPOORCAMENTO="Licitado",$C170&lt;&gt;"L",$C170&lt;&gt;-1)</formula>
    </cfRule>
  </conditionalFormatting>
  <conditionalFormatting sqref="U175:U176">
    <cfRule type="expression" priority="683" dxfId="1020" stopIfTrue="1">
      <formula>$C175=1</formula>
    </cfRule>
    <cfRule type="expression" priority="684" dxfId="1021" stopIfTrue="1">
      <formula>OR($C175=0,$C175=2,$C175=3,$C175=4)</formula>
    </cfRule>
    <cfRule type="expression" priority="685" dxfId="1022" stopIfTrue="1">
      <formula>AND(TIPOORCAMENTO="Licitado",$C175&lt;&gt;"L",$C175&lt;&gt;-1)</formula>
    </cfRule>
  </conditionalFormatting>
  <conditionalFormatting sqref="U180:U181">
    <cfRule type="expression" priority="680" dxfId="1020" stopIfTrue="1">
      <formula>$C180=1</formula>
    </cfRule>
    <cfRule type="expression" priority="681" dxfId="1021" stopIfTrue="1">
      <formula>OR($C180=0,$C180=2,$C180=3,$C180=4)</formula>
    </cfRule>
    <cfRule type="expression" priority="682" dxfId="1022" stopIfTrue="1">
      <formula>AND(TIPOORCAMENTO="Licitado",$C180&lt;&gt;"L",$C180&lt;&gt;-1)</formula>
    </cfRule>
  </conditionalFormatting>
  <conditionalFormatting sqref="M183:M187">
    <cfRule type="cellIs" priority="663" dxfId="1017" operator="notEqual" stopIfTrue="1">
      <formula>$N183</formula>
    </cfRule>
  </conditionalFormatting>
  <conditionalFormatting sqref="N183:O187 R183:R187 W185:X186 W183:W184 W187">
    <cfRule type="expression" priority="664" dxfId="1018" stopIfTrue="1">
      <formula>$C183=1</formula>
    </cfRule>
    <cfRule type="expression" priority="665" dxfId="1019" stopIfTrue="1">
      <formula>OR($C183=0,$C183=2,$C183=3,$C183=4)</formula>
    </cfRule>
  </conditionalFormatting>
  <conditionalFormatting sqref="U183:V184 U187:V187 V185:V186">
    <cfRule type="expression" priority="666" dxfId="1020" stopIfTrue="1">
      <formula>$C183=1</formula>
    </cfRule>
    <cfRule type="expression" priority="667" dxfId="1021" stopIfTrue="1">
      <formula>OR($C183=0,$C183=2,$C183=3,$C183=4)</formula>
    </cfRule>
    <cfRule type="expression" priority="668" dxfId="1022" stopIfTrue="1">
      <formula>AND(TIPOORCAMENTO="Licitado",$C183&lt;&gt;"L",$C183&lt;&gt;-1)</formula>
    </cfRule>
  </conditionalFormatting>
  <conditionalFormatting sqref="P183:Q184 S183:T184 Y183:Y187 AG183:AH187 P187:Q187 P185:P186 S187:T187 S185:S186">
    <cfRule type="expression" priority="669" dxfId="1023" stopIfTrue="1">
      <formula>$C183=1</formula>
    </cfRule>
    <cfRule type="expression" priority="670" dxfId="1021" stopIfTrue="1">
      <formula>OR($C183=0,$C183=2,$C183=3,$C183=4)</formula>
    </cfRule>
  </conditionalFormatting>
  <conditionalFormatting sqref="AJ183:AJ187">
    <cfRule type="expression" priority="671" dxfId="1024" stopIfTrue="1">
      <formula>OR(ACOMPANHAMENTO&lt;&gt;"BM",TIPOORCAMENTO="Licitado")</formula>
    </cfRule>
    <cfRule type="expression" priority="672" dxfId="1023" stopIfTrue="1">
      <formula>$C183=1</formula>
    </cfRule>
    <cfRule type="expression" priority="673" dxfId="1021" stopIfTrue="1">
      <formula>OR(AND(ISNUMBER($C183),$C183=0),$C183=2,$C183=3,$C183=4)</formula>
    </cfRule>
  </conditionalFormatting>
  <conditionalFormatting sqref="AL183:AL187">
    <cfRule type="expression" priority="674" dxfId="1024" stopIfTrue="1">
      <formula>TIPOORCAMENTO="PROPOSTO"</formula>
    </cfRule>
    <cfRule type="expression" priority="675" dxfId="1023" stopIfTrue="1">
      <formula>$C183=1</formula>
    </cfRule>
    <cfRule type="expression" priority="676" dxfId="1021" stopIfTrue="1">
      <formula>OR(AND(ISNUMBER($C183),$C183=0),$C183=2,$C183=3,$C183=4)</formula>
    </cfRule>
  </conditionalFormatting>
  <conditionalFormatting sqref="AM183:AN187">
    <cfRule type="expression" priority="677" dxfId="1024" stopIfTrue="1">
      <formula>TIPOORCAMENTO="PROPOSTO"</formula>
    </cfRule>
    <cfRule type="expression" priority="678" dxfId="1027" stopIfTrue="1">
      <formula>$C183=1</formula>
    </cfRule>
    <cfRule type="expression" priority="679" dxfId="1019" stopIfTrue="1">
      <formula>OR(AND(ISNUMBER($C183),$C183=0),$C183=2,$C183=3,$C183=4)</formula>
    </cfRule>
  </conditionalFormatting>
  <conditionalFormatting sqref="Q185:Q186">
    <cfRule type="expression" priority="661" dxfId="1023" stopIfTrue="1">
      <formula>$C185=1</formula>
    </cfRule>
    <cfRule type="expression" priority="662" dxfId="1021" stopIfTrue="1">
      <formula>OR($C185=0,$C185=2,$C185=3,$C185=4)</formula>
    </cfRule>
  </conditionalFormatting>
  <conditionalFormatting sqref="U185:U186">
    <cfRule type="expression" priority="658" dxfId="1020" stopIfTrue="1">
      <formula>$C185=1</formula>
    </cfRule>
    <cfRule type="expression" priority="659" dxfId="1021" stopIfTrue="1">
      <formula>OR($C185=0,$C185=2,$C185=3,$C185=4)</formula>
    </cfRule>
    <cfRule type="expression" priority="660" dxfId="1022" stopIfTrue="1">
      <formula>AND(TIPOORCAMENTO="Licitado",$C185&lt;&gt;"L",$C185&lt;&gt;-1)</formula>
    </cfRule>
  </conditionalFormatting>
  <conditionalFormatting sqref="M188">
    <cfRule type="cellIs" priority="641" dxfId="1017" operator="notEqual" stopIfTrue="1">
      <formula>$N188</formula>
    </cfRule>
  </conditionalFormatting>
  <conditionalFormatting sqref="N188:O188 R188 W188">
    <cfRule type="expression" priority="642" dxfId="1018" stopIfTrue="1">
      <formula>$C188=1</formula>
    </cfRule>
    <cfRule type="expression" priority="643" dxfId="1019" stopIfTrue="1">
      <formula>OR($C188=0,$C188=2,$C188=3,$C188=4)</formula>
    </cfRule>
  </conditionalFormatting>
  <conditionalFormatting sqref="U188:V188 U192:V193 V190:V191 V194:V195">
    <cfRule type="expression" priority="644" dxfId="1020" stopIfTrue="1">
      <formula>$C188=1</formula>
    </cfRule>
    <cfRule type="expression" priority="645" dxfId="1021" stopIfTrue="1">
      <formula>OR($C188=0,$C188=2,$C188=3,$C188=4)</formula>
    </cfRule>
    <cfRule type="expression" priority="646" dxfId="1022" stopIfTrue="1">
      <formula>AND(TIPOORCAMENTO="Licitado",$C188&lt;&gt;"L",$C188&lt;&gt;-1)</formula>
    </cfRule>
  </conditionalFormatting>
  <conditionalFormatting sqref="P188:Q188 S188:T188 Y188 AG188:AH188 P192:Q193 P194:P195">
    <cfRule type="expression" priority="647" dxfId="1023" stopIfTrue="1">
      <formula>$C188=1</formula>
    </cfRule>
    <cfRule type="expression" priority="648" dxfId="1021" stopIfTrue="1">
      <formula>OR($C188=0,$C188=2,$C188=3,$C188=4)</formula>
    </cfRule>
  </conditionalFormatting>
  <conditionalFormatting sqref="AJ188">
    <cfRule type="expression" priority="649" dxfId="1024" stopIfTrue="1">
      <formula>OR(ACOMPANHAMENTO&lt;&gt;"BM",TIPOORCAMENTO="Licitado")</formula>
    </cfRule>
    <cfRule type="expression" priority="650" dxfId="1023" stopIfTrue="1">
      <formula>$C188=1</formula>
    </cfRule>
    <cfRule type="expression" priority="651" dxfId="1021" stopIfTrue="1">
      <formula>OR(AND(ISNUMBER($C188),$C188=0),$C188=2,$C188=3,$C188=4)</formula>
    </cfRule>
  </conditionalFormatting>
  <conditionalFormatting sqref="AL188">
    <cfRule type="expression" priority="652" dxfId="1024" stopIfTrue="1">
      <formula>TIPOORCAMENTO="PROPOSTO"</formula>
    </cfRule>
    <cfRule type="expression" priority="653" dxfId="1023" stopIfTrue="1">
      <formula>$C188=1</formula>
    </cfRule>
    <cfRule type="expression" priority="654" dxfId="1021" stopIfTrue="1">
      <formula>OR(AND(ISNUMBER($C188),$C188=0),$C188=2,$C188=3,$C188=4)</formula>
    </cfRule>
  </conditionalFormatting>
  <conditionalFormatting sqref="AM188:AN188">
    <cfRule type="expression" priority="655" dxfId="1024" stopIfTrue="1">
      <formula>TIPOORCAMENTO="PROPOSTO"</formula>
    </cfRule>
    <cfRule type="expression" priority="656" dxfId="1027" stopIfTrue="1">
      <formula>$C188=1</formula>
    </cfRule>
    <cfRule type="expression" priority="657" dxfId="1019" stopIfTrue="1">
      <formula>OR(AND(ISNUMBER($C188),$C188=0),$C188=2,$C188=3,$C188=4)</formula>
    </cfRule>
  </conditionalFormatting>
  <conditionalFormatting sqref="P190:P191">
    <cfRule type="expression" priority="639" dxfId="1023" stopIfTrue="1">
      <formula>$C190=1</formula>
    </cfRule>
    <cfRule type="expression" priority="640" dxfId="1021" stopIfTrue="1">
      <formula>OR($C190=0,$C190=2,$C190=3,$C190=4)</formula>
    </cfRule>
  </conditionalFormatting>
  <conditionalFormatting sqref="Q190:Q191">
    <cfRule type="expression" priority="637" dxfId="1023" stopIfTrue="1">
      <formula>$C190=1</formula>
    </cfRule>
    <cfRule type="expression" priority="638" dxfId="1021" stopIfTrue="1">
      <formula>OR($C190=0,$C190=2,$C190=3,$C190=4)</formula>
    </cfRule>
  </conditionalFormatting>
  <conditionalFormatting sqref="M189">
    <cfRule type="cellIs" priority="620" dxfId="1017" operator="notEqual" stopIfTrue="1">
      <formula>$N189</formula>
    </cfRule>
  </conditionalFormatting>
  <conditionalFormatting sqref="N189:O189 R189 W189">
    <cfRule type="expression" priority="621" dxfId="1018" stopIfTrue="1">
      <formula>$C189=1</formula>
    </cfRule>
    <cfRule type="expression" priority="622" dxfId="1019" stopIfTrue="1">
      <formula>OR($C189=0,$C189=2,$C189=3,$C189=4)</formula>
    </cfRule>
  </conditionalFormatting>
  <conditionalFormatting sqref="U189:V189">
    <cfRule type="expression" priority="623" dxfId="1020" stopIfTrue="1">
      <formula>$C189=1</formula>
    </cfRule>
    <cfRule type="expression" priority="624" dxfId="1021" stopIfTrue="1">
      <formula>OR($C189=0,$C189=2,$C189=3,$C189=4)</formula>
    </cfRule>
    <cfRule type="expression" priority="625" dxfId="1022" stopIfTrue="1">
      <formula>AND(TIPOORCAMENTO="Licitado",$C189&lt;&gt;"L",$C189&lt;&gt;-1)</formula>
    </cfRule>
  </conditionalFormatting>
  <conditionalFormatting sqref="P189:Q189 S189:T189 Y189 AG189:AH189">
    <cfRule type="expression" priority="626" dxfId="1023" stopIfTrue="1">
      <formula>$C189=1</formula>
    </cfRule>
    <cfRule type="expression" priority="627" dxfId="1021" stopIfTrue="1">
      <formula>OR($C189=0,$C189=2,$C189=3,$C189=4)</formula>
    </cfRule>
  </conditionalFormatting>
  <conditionalFormatting sqref="AJ189">
    <cfRule type="expression" priority="628" dxfId="1024" stopIfTrue="1">
      <formula>OR(ACOMPANHAMENTO&lt;&gt;"BM",TIPOORCAMENTO="Licitado")</formula>
    </cfRule>
    <cfRule type="expression" priority="629" dxfId="1023" stopIfTrue="1">
      <formula>$C189=1</formula>
    </cfRule>
    <cfRule type="expression" priority="630" dxfId="1021" stopIfTrue="1">
      <formula>OR(AND(ISNUMBER($C189),$C189=0),$C189=2,$C189=3,$C189=4)</formula>
    </cfRule>
  </conditionalFormatting>
  <conditionalFormatting sqref="AL189">
    <cfRule type="expression" priority="631" dxfId="1024" stopIfTrue="1">
      <formula>TIPOORCAMENTO="PROPOSTO"</formula>
    </cfRule>
    <cfRule type="expression" priority="632" dxfId="1023" stopIfTrue="1">
      <formula>$C189=1</formula>
    </cfRule>
    <cfRule type="expression" priority="633" dxfId="1021" stopIfTrue="1">
      <formula>OR(AND(ISNUMBER($C189),$C189=0),$C189=2,$C189=3,$C189=4)</formula>
    </cfRule>
  </conditionalFormatting>
  <conditionalFormatting sqref="AM189:AN189">
    <cfRule type="expression" priority="634" dxfId="1024" stopIfTrue="1">
      <formula>TIPOORCAMENTO="PROPOSTO"</formula>
    </cfRule>
    <cfRule type="expression" priority="635" dxfId="1027" stopIfTrue="1">
      <formula>$C189=1</formula>
    </cfRule>
    <cfRule type="expression" priority="636" dxfId="1019" stopIfTrue="1">
      <formula>OR(AND(ISNUMBER($C189),$C189=0),$C189=2,$C189=3,$C189=4)</formula>
    </cfRule>
  </conditionalFormatting>
  <conditionalFormatting sqref="U190:U191">
    <cfRule type="expression" priority="617" dxfId="1020" stopIfTrue="1">
      <formula>$C190=1</formula>
    </cfRule>
    <cfRule type="expression" priority="618" dxfId="1021" stopIfTrue="1">
      <formula>OR($C190=0,$C190=2,$C190=3,$C190=4)</formula>
    </cfRule>
    <cfRule type="expression" priority="619" dxfId="1022" stopIfTrue="1">
      <formula>AND(TIPOORCAMENTO="Licitado",$C190&lt;&gt;"L",$C190&lt;&gt;-1)</formula>
    </cfRule>
  </conditionalFormatting>
  <conditionalFormatting sqref="Q32">
    <cfRule type="expression" priority="615" dxfId="1023" stopIfTrue="1">
      <formula>$C32=1</formula>
    </cfRule>
    <cfRule type="expression" priority="616" dxfId="1021" stopIfTrue="1">
      <formula>OR($C32=0,$C32=2,$C32=3,$C32=4)</formula>
    </cfRule>
  </conditionalFormatting>
  <conditionalFormatting sqref="Q31">
    <cfRule type="expression" priority="613" dxfId="1023" stopIfTrue="1">
      <formula>$C31=1</formula>
    </cfRule>
    <cfRule type="expression" priority="614" dxfId="1021" stopIfTrue="1">
      <formula>OR($C31=0,$C31=2,$C31=3,$C31=4)</formula>
    </cfRule>
  </conditionalFormatting>
  <conditionalFormatting sqref="Q194:Q195">
    <cfRule type="expression" priority="611" dxfId="1023" stopIfTrue="1">
      <formula>$C194=1</formula>
    </cfRule>
    <cfRule type="expression" priority="612" dxfId="1021" stopIfTrue="1">
      <formula>OR($C194=0,$C194=2,$C194=3,$C194=4)</formula>
    </cfRule>
  </conditionalFormatting>
  <conditionalFormatting sqref="U194:U195">
    <cfRule type="expression" priority="608" dxfId="1020" stopIfTrue="1">
      <formula>$C194=1</formula>
    </cfRule>
    <cfRule type="expression" priority="609" dxfId="1021" stopIfTrue="1">
      <formula>OR($C194=0,$C194=2,$C194=3,$C194=4)</formula>
    </cfRule>
    <cfRule type="expression" priority="610" dxfId="1022" stopIfTrue="1">
      <formula>AND(TIPOORCAMENTO="Licitado",$C194&lt;&gt;"L",$C194&lt;&gt;-1)</formula>
    </cfRule>
  </conditionalFormatting>
  <conditionalFormatting sqref="U82:V82 V85">
    <cfRule type="expression" priority="605" dxfId="1020" stopIfTrue="1">
      <formula>$C82=1</formula>
    </cfRule>
    <cfRule type="expression" priority="606" dxfId="1021" stopIfTrue="1">
      <formula>OR($C82=0,$C82=2,$C82=3,$C82=4)</formula>
    </cfRule>
    <cfRule type="expression" priority="607" dxfId="1022" stopIfTrue="1">
      <formula>AND(TIPOORCAMENTO="Licitado",$C82&lt;&gt;"L",$C82&lt;&gt;-1)</formula>
    </cfRule>
  </conditionalFormatting>
  <conditionalFormatting sqref="P33:Q34 P35:P36">
    <cfRule type="expression" priority="603" dxfId="1023" stopIfTrue="1">
      <formula>$C33=1</formula>
    </cfRule>
    <cfRule type="expression" priority="604" dxfId="1021" stopIfTrue="1">
      <formula>OR($C33=0,$C33=2,$C33=3,$C33=4)</formula>
    </cfRule>
  </conditionalFormatting>
  <conditionalFormatting sqref="Q36">
    <cfRule type="expression" priority="601" dxfId="1023" stopIfTrue="1">
      <formula>$C36=1</formula>
    </cfRule>
    <cfRule type="expression" priority="602" dxfId="1021" stopIfTrue="1">
      <formula>OR($C36=0,$C36=2,$C36=3,$C36=4)</formula>
    </cfRule>
  </conditionalFormatting>
  <conditionalFormatting sqref="Q35">
    <cfRule type="expression" priority="599" dxfId="1023" stopIfTrue="1">
      <formula>$C35=1</formula>
    </cfRule>
    <cfRule type="expression" priority="600" dxfId="1021" stopIfTrue="1">
      <formula>OR($C35=0,$C35=2,$C35=3,$C35=4)</formula>
    </cfRule>
  </conditionalFormatting>
  <conditionalFormatting sqref="P101:Q109 S101:T101 Y101:Y109 AG101:AH109 S102:S109">
    <cfRule type="expression" priority="558" dxfId="1023" stopIfTrue="1">
      <formula>$C101=1</formula>
    </cfRule>
    <cfRule type="expression" priority="559" dxfId="1021" stopIfTrue="1">
      <formula>OR($C101=0,$C101=2,$C101=3,$C101=4)</formula>
    </cfRule>
  </conditionalFormatting>
  <conditionalFormatting sqref="AJ100">
    <cfRule type="expression" priority="572" dxfId="1024" stopIfTrue="1">
      <formula>OR(ACOMPANHAMENTO&lt;&gt;"BM",TIPOORCAMENTO="Licitado")</formula>
    </cfRule>
    <cfRule type="expression" priority="573" dxfId="1023" stopIfTrue="1">
      <formula>$C100=1</formula>
    </cfRule>
    <cfRule type="expression" priority="574" dxfId="1021" stopIfTrue="1">
      <formula>OR(AND(ISNUMBER($C100),$C100=0),$C100=2,$C100=3,$C100=4)</formula>
    </cfRule>
  </conditionalFormatting>
  <conditionalFormatting sqref="V219:V222">
    <cfRule type="expression" priority="569" dxfId="1020" stopIfTrue="1">
      <formula>$C219=1</formula>
    </cfRule>
    <cfRule type="expression" priority="570" dxfId="1021" stopIfTrue="1">
      <formula>OR($C219=0,$C219=2,$C219=3,$C219=4)</formula>
    </cfRule>
    <cfRule type="expression" priority="571" dxfId="1022" stopIfTrue="1">
      <formula>AND(TIPOORCAMENTO="Licitado",$C219&lt;&gt;"L",$C219&lt;&gt;-1)</formula>
    </cfRule>
  </conditionalFormatting>
  <conditionalFormatting sqref="M101:M109">
    <cfRule type="cellIs" priority="552" dxfId="1017" operator="notEqual" stopIfTrue="1">
      <formula>$N101</formula>
    </cfRule>
  </conditionalFormatting>
  <conditionalFormatting sqref="N101:O109 R101:R109 W102:X109 W101">
    <cfRule type="expression" priority="553" dxfId="1018" stopIfTrue="1">
      <formula>$C101=1</formula>
    </cfRule>
    <cfRule type="expression" priority="554" dxfId="1019" stopIfTrue="1">
      <formula>OR($C101=0,$C101=2,$C101=3,$C101=4)</formula>
    </cfRule>
  </conditionalFormatting>
  <conditionalFormatting sqref="V101:V109">
    <cfRule type="expression" priority="555" dxfId="1020" stopIfTrue="1">
      <formula>$C101=1</formula>
    </cfRule>
    <cfRule type="expression" priority="556" dxfId="1021" stopIfTrue="1">
      <formula>OR($C101=0,$C101=2,$C101=3,$C101=4)</formula>
    </cfRule>
    <cfRule type="expression" priority="557" dxfId="1022" stopIfTrue="1">
      <formula>AND(TIPOORCAMENTO="Licitado",$C101&lt;&gt;"L",$C101&lt;&gt;-1)</formula>
    </cfRule>
  </conditionalFormatting>
  <conditionalFormatting sqref="AJ101:AJ109">
    <cfRule type="expression" priority="560" dxfId="1024" stopIfTrue="1">
      <formula>OR(ACOMPANHAMENTO&lt;&gt;"BM",TIPOORCAMENTO="Licitado")</formula>
    </cfRule>
    <cfRule type="expression" priority="561" dxfId="1023" stopIfTrue="1">
      <formula>$C101=1</formula>
    </cfRule>
    <cfRule type="expression" priority="562" dxfId="1021" stopIfTrue="1">
      <formula>OR(AND(ISNUMBER($C101),$C101=0),$C101=2,$C101=3,$C101=4)</formula>
    </cfRule>
  </conditionalFormatting>
  <conditionalFormatting sqref="AL101:AL109">
    <cfRule type="expression" priority="563" dxfId="1024" stopIfTrue="1">
      <formula>TIPOORCAMENTO="PROPOSTO"</formula>
    </cfRule>
    <cfRule type="expression" priority="564" dxfId="1023" stopIfTrue="1">
      <formula>$C101=1</formula>
    </cfRule>
    <cfRule type="expression" priority="565" dxfId="1021" stopIfTrue="1">
      <formula>OR(AND(ISNUMBER($C101),$C101=0),$C101=2,$C101=3,$C101=4)</formula>
    </cfRule>
  </conditionalFormatting>
  <conditionalFormatting sqref="AM101:AN109">
    <cfRule type="expression" priority="566" dxfId="1024" stopIfTrue="1">
      <formula>TIPOORCAMENTO="PROPOSTO"</formula>
    </cfRule>
    <cfRule type="expression" priority="567" dxfId="1027" stopIfTrue="1">
      <formula>$C101=1</formula>
    </cfRule>
    <cfRule type="expression" priority="568" dxfId="1019" stopIfTrue="1">
      <formula>OR(AND(ISNUMBER($C101),$C101=0),$C101=2,$C101=3,$C101=4)</formula>
    </cfRule>
  </conditionalFormatting>
  <conditionalFormatting sqref="M110">
    <cfRule type="cellIs" priority="535" dxfId="1017" operator="notEqual" stopIfTrue="1">
      <formula>$N110</formula>
    </cfRule>
  </conditionalFormatting>
  <conditionalFormatting sqref="N110:O110 R110 W110:X110">
    <cfRule type="expression" priority="536" dxfId="1018" stopIfTrue="1">
      <formula>$C110=1</formula>
    </cfRule>
    <cfRule type="expression" priority="537" dxfId="1019" stopIfTrue="1">
      <formula>OR($C110=0,$C110=2,$C110=3,$C110=4)</formula>
    </cfRule>
  </conditionalFormatting>
  <conditionalFormatting sqref="V110">
    <cfRule type="expression" priority="538" dxfId="1020" stopIfTrue="1">
      <formula>$C110=1</formula>
    </cfRule>
    <cfRule type="expression" priority="539" dxfId="1021" stopIfTrue="1">
      <formula>OR($C110=0,$C110=2,$C110=3,$C110=4)</formula>
    </cfRule>
    <cfRule type="expression" priority="540" dxfId="1022" stopIfTrue="1">
      <formula>AND(TIPOORCAMENTO="Licitado",$C110&lt;&gt;"L",$C110&lt;&gt;-1)</formula>
    </cfRule>
  </conditionalFormatting>
  <conditionalFormatting sqref="P110:Q110 S110 Y110 AG110:AH110">
    <cfRule type="expression" priority="541" dxfId="1023" stopIfTrue="1">
      <formula>$C110=1</formula>
    </cfRule>
    <cfRule type="expression" priority="542" dxfId="1021" stopIfTrue="1">
      <formula>OR($C110=0,$C110=2,$C110=3,$C110=4)</formula>
    </cfRule>
  </conditionalFormatting>
  <conditionalFormatting sqref="AJ110">
    <cfRule type="expression" priority="543" dxfId="1024" stopIfTrue="1">
      <formula>OR(ACOMPANHAMENTO&lt;&gt;"BM",TIPOORCAMENTO="Licitado")</formula>
    </cfRule>
    <cfRule type="expression" priority="544" dxfId="1023" stopIfTrue="1">
      <formula>$C110=1</formula>
    </cfRule>
    <cfRule type="expression" priority="545" dxfId="1021" stopIfTrue="1">
      <formula>OR(AND(ISNUMBER($C110),$C110=0),$C110=2,$C110=3,$C110=4)</formula>
    </cfRule>
  </conditionalFormatting>
  <conditionalFormatting sqref="AL110">
    <cfRule type="expression" priority="546" dxfId="1024" stopIfTrue="1">
      <formula>TIPOORCAMENTO="PROPOSTO"</formula>
    </cfRule>
    <cfRule type="expression" priority="547" dxfId="1023" stopIfTrue="1">
      <formula>$C110=1</formula>
    </cfRule>
    <cfRule type="expression" priority="548" dxfId="1021" stopIfTrue="1">
      <formula>OR(AND(ISNUMBER($C110),$C110=0),$C110=2,$C110=3,$C110=4)</formula>
    </cfRule>
  </conditionalFormatting>
  <conditionalFormatting sqref="AM110:AN110">
    <cfRule type="expression" priority="549" dxfId="1024" stopIfTrue="1">
      <formula>TIPOORCAMENTO="PROPOSTO"</formula>
    </cfRule>
    <cfRule type="expression" priority="550" dxfId="1027" stopIfTrue="1">
      <formula>$C110=1</formula>
    </cfRule>
    <cfRule type="expression" priority="551" dxfId="1019" stopIfTrue="1">
      <formula>OR(AND(ISNUMBER($C110),$C110=0),$C110=2,$C110=3,$C110=4)</formula>
    </cfRule>
  </conditionalFormatting>
  <conditionalFormatting sqref="M111">
    <cfRule type="cellIs" priority="518" dxfId="1017" operator="notEqual" stopIfTrue="1">
      <formula>$N111</formula>
    </cfRule>
  </conditionalFormatting>
  <conditionalFormatting sqref="N111:O111 R111 W111:X111">
    <cfRule type="expression" priority="519" dxfId="1018" stopIfTrue="1">
      <formula>$C111=1</formula>
    </cfRule>
    <cfRule type="expression" priority="520" dxfId="1019" stopIfTrue="1">
      <formula>OR($C111=0,$C111=2,$C111=3,$C111=4)</formula>
    </cfRule>
  </conditionalFormatting>
  <conditionalFormatting sqref="V111">
    <cfRule type="expression" priority="521" dxfId="1020" stopIfTrue="1">
      <formula>$C111=1</formula>
    </cfRule>
    <cfRule type="expression" priority="522" dxfId="1021" stopIfTrue="1">
      <formula>OR($C111=0,$C111=2,$C111=3,$C111=4)</formula>
    </cfRule>
    <cfRule type="expression" priority="523" dxfId="1022" stopIfTrue="1">
      <formula>AND(TIPOORCAMENTO="Licitado",$C111&lt;&gt;"L",$C111&lt;&gt;-1)</formula>
    </cfRule>
  </conditionalFormatting>
  <conditionalFormatting sqref="P111:Q111 S111 Y111 AG111:AH111">
    <cfRule type="expression" priority="524" dxfId="1023" stopIfTrue="1">
      <formula>$C111=1</formula>
    </cfRule>
    <cfRule type="expression" priority="525" dxfId="1021" stopIfTrue="1">
      <formula>OR($C111=0,$C111=2,$C111=3,$C111=4)</formula>
    </cfRule>
  </conditionalFormatting>
  <conditionalFormatting sqref="AJ111">
    <cfRule type="expression" priority="526" dxfId="1024" stopIfTrue="1">
      <formula>OR(ACOMPANHAMENTO&lt;&gt;"BM",TIPOORCAMENTO="Licitado")</formula>
    </cfRule>
    <cfRule type="expression" priority="527" dxfId="1023" stopIfTrue="1">
      <formula>$C111=1</formula>
    </cfRule>
    <cfRule type="expression" priority="528" dxfId="1021" stopIfTrue="1">
      <formula>OR(AND(ISNUMBER($C111),$C111=0),$C111=2,$C111=3,$C111=4)</formula>
    </cfRule>
  </conditionalFormatting>
  <conditionalFormatting sqref="AL111">
    <cfRule type="expression" priority="529" dxfId="1024" stopIfTrue="1">
      <formula>TIPOORCAMENTO="PROPOSTO"</formula>
    </cfRule>
    <cfRule type="expression" priority="530" dxfId="1023" stopIfTrue="1">
      <formula>$C111=1</formula>
    </cfRule>
    <cfRule type="expression" priority="531" dxfId="1021" stopIfTrue="1">
      <formula>OR(AND(ISNUMBER($C111),$C111=0),$C111=2,$C111=3,$C111=4)</formula>
    </cfRule>
  </conditionalFormatting>
  <conditionalFormatting sqref="AM111:AN111">
    <cfRule type="expression" priority="532" dxfId="1024" stopIfTrue="1">
      <formula>TIPOORCAMENTO="PROPOSTO"</formula>
    </cfRule>
    <cfRule type="expression" priority="533" dxfId="1027" stopIfTrue="1">
      <formula>$C111=1</formula>
    </cfRule>
    <cfRule type="expression" priority="534" dxfId="1019" stopIfTrue="1">
      <formula>OR(AND(ISNUMBER($C111),$C111=0),$C111=2,$C111=3,$C111=4)</formula>
    </cfRule>
  </conditionalFormatting>
  <conditionalFormatting sqref="M59:M60">
    <cfRule type="cellIs" priority="504" dxfId="1017" operator="notEqual" stopIfTrue="1">
      <formula>$N59</formula>
    </cfRule>
  </conditionalFormatting>
  <conditionalFormatting sqref="N59:O60 R59:R60 W59:X60">
    <cfRule type="expression" priority="505" dxfId="1018" stopIfTrue="1">
      <formula>$C59=1</formula>
    </cfRule>
    <cfRule type="expression" priority="506" dxfId="1019" stopIfTrue="1">
      <formula>OR($C59=0,$C59=2,$C59=3,$C59=4)</formula>
    </cfRule>
  </conditionalFormatting>
  <conditionalFormatting sqref="P59:Q60 S59:S60 Y59:Y60 AG59:AH60">
    <cfRule type="expression" priority="507" dxfId="1023" stopIfTrue="1">
      <formula>$C59=1</formula>
    </cfRule>
    <cfRule type="expression" priority="508" dxfId="1021" stopIfTrue="1">
      <formula>OR($C59=0,$C59=2,$C59=3,$C59=4)</formula>
    </cfRule>
  </conditionalFormatting>
  <conditionalFormatting sqref="AJ60">
    <cfRule type="expression" priority="509" dxfId="1024" stopIfTrue="1">
      <formula>OR(ACOMPANHAMENTO&lt;&gt;"BM",TIPOORCAMENTO="Licitado")</formula>
    </cfRule>
    <cfRule type="expression" priority="510" dxfId="1023" stopIfTrue="1">
      <formula>$C60=1</formula>
    </cfRule>
    <cfRule type="expression" priority="511" dxfId="1021" stopIfTrue="1">
      <formula>OR(AND(ISNUMBER($C60),$C60=0),$C60=2,$C60=3,$C60=4)</formula>
    </cfRule>
  </conditionalFormatting>
  <conditionalFormatting sqref="AL59:AL60">
    <cfRule type="expression" priority="512" dxfId="1024" stopIfTrue="1">
      <formula>TIPOORCAMENTO="PROPOSTO"</formula>
    </cfRule>
    <cfRule type="expression" priority="513" dxfId="1023" stopIfTrue="1">
      <formula>$C59=1</formula>
    </cfRule>
    <cfRule type="expression" priority="514" dxfId="1021" stopIfTrue="1">
      <formula>OR(AND(ISNUMBER($C59),$C59=0),$C59=2,$C59=3,$C59=4)</formula>
    </cfRule>
  </conditionalFormatting>
  <conditionalFormatting sqref="AM59:AN60">
    <cfRule type="expression" priority="515" dxfId="1024" stopIfTrue="1">
      <formula>TIPOORCAMENTO="PROPOSTO"</formula>
    </cfRule>
    <cfRule type="expression" priority="516" dxfId="1027" stopIfTrue="1">
      <formula>$C59=1</formula>
    </cfRule>
    <cfRule type="expression" priority="517" dxfId="1019" stopIfTrue="1">
      <formula>OR(AND(ISNUMBER($C59),$C59=0),$C59=2,$C59=3,$C59=4)</formula>
    </cfRule>
  </conditionalFormatting>
  <conditionalFormatting sqref="M58">
    <cfRule type="cellIs" priority="490" dxfId="1017" operator="notEqual" stopIfTrue="1">
      <formula>$N58</formula>
    </cfRule>
  </conditionalFormatting>
  <conditionalFormatting sqref="N58:O58 R58 W58">
    <cfRule type="expression" priority="491" dxfId="1018" stopIfTrue="1">
      <formula>$C58=1</formula>
    </cfRule>
    <cfRule type="expression" priority="492" dxfId="1019" stopIfTrue="1">
      <formula>OR($C58=0,$C58=2,$C58=3,$C58=4)</formula>
    </cfRule>
  </conditionalFormatting>
  <conditionalFormatting sqref="P58:Q58 S58:T58 Y58 AG58:AH58">
    <cfRule type="expression" priority="493" dxfId="1023" stopIfTrue="1">
      <formula>$C58=1</formula>
    </cfRule>
    <cfRule type="expression" priority="494" dxfId="1021" stopIfTrue="1">
      <formula>OR($C58=0,$C58=2,$C58=3,$C58=4)</formula>
    </cfRule>
  </conditionalFormatting>
  <conditionalFormatting sqref="AJ58">
    <cfRule type="expression" priority="495" dxfId="1024" stopIfTrue="1">
      <formula>OR(ACOMPANHAMENTO&lt;&gt;"BM",TIPOORCAMENTO="Licitado")</formula>
    </cfRule>
    <cfRule type="expression" priority="496" dxfId="1023" stopIfTrue="1">
      <formula>$C58=1</formula>
    </cfRule>
    <cfRule type="expression" priority="497" dxfId="1021" stopIfTrue="1">
      <formula>OR(AND(ISNUMBER($C58),$C58=0),$C58=2,$C58=3,$C58=4)</formula>
    </cfRule>
  </conditionalFormatting>
  <conditionalFormatting sqref="AL58">
    <cfRule type="expression" priority="498" dxfId="1024" stopIfTrue="1">
      <formula>TIPOORCAMENTO="PROPOSTO"</formula>
    </cfRule>
    <cfRule type="expression" priority="499" dxfId="1023" stopIfTrue="1">
      <formula>$C58=1</formula>
    </cfRule>
    <cfRule type="expression" priority="500" dxfId="1021" stopIfTrue="1">
      <formula>OR(AND(ISNUMBER($C58),$C58=0),$C58=2,$C58=3,$C58=4)</formula>
    </cfRule>
  </conditionalFormatting>
  <conditionalFormatting sqref="AM58:AN58">
    <cfRule type="expression" priority="501" dxfId="1024" stopIfTrue="1">
      <formula>TIPOORCAMENTO="PROPOSTO"</formula>
    </cfRule>
    <cfRule type="expression" priority="502" dxfId="1027" stopIfTrue="1">
      <formula>$C58=1</formula>
    </cfRule>
    <cfRule type="expression" priority="503" dxfId="1019" stopIfTrue="1">
      <formula>OR(AND(ISNUMBER($C58),$C58=0),$C58=2,$C58=3,$C58=4)</formula>
    </cfRule>
  </conditionalFormatting>
  <conditionalFormatting sqref="M61">
    <cfRule type="cellIs" priority="476" dxfId="1017" operator="notEqual" stopIfTrue="1">
      <formula>$N61</formula>
    </cfRule>
  </conditionalFormatting>
  <conditionalFormatting sqref="N61:O61 R61 W61:X61">
    <cfRule type="expression" priority="477" dxfId="1018" stopIfTrue="1">
      <formula>$C61=1</formula>
    </cfRule>
    <cfRule type="expression" priority="478" dxfId="1019" stopIfTrue="1">
      <formula>OR($C61=0,$C61=2,$C61=3,$C61=4)</formula>
    </cfRule>
  </conditionalFormatting>
  <conditionalFormatting sqref="P61:Q61 S61 Y61 AG61:AH61">
    <cfRule type="expression" priority="479" dxfId="1023" stopIfTrue="1">
      <formula>$C61=1</formula>
    </cfRule>
    <cfRule type="expression" priority="480" dxfId="1021" stopIfTrue="1">
      <formula>OR($C61=0,$C61=2,$C61=3,$C61=4)</formula>
    </cfRule>
  </conditionalFormatting>
  <conditionalFormatting sqref="AJ61">
    <cfRule type="expression" priority="481" dxfId="1024" stopIfTrue="1">
      <formula>OR(ACOMPANHAMENTO&lt;&gt;"BM",TIPOORCAMENTO="Licitado")</formula>
    </cfRule>
    <cfRule type="expression" priority="482" dxfId="1023" stopIfTrue="1">
      <formula>$C61=1</formula>
    </cfRule>
    <cfRule type="expression" priority="483" dxfId="1021" stopIfTrue="1">
      <formula>OR(AND(ISNUMBER($C61),$C61=0),$C61=2,$C61=3,$C61=4)</formula>
    </cfRule>
  </conditionalFormatting>
  <conditionalFormatting sqref="AL61">
    <cfRule type="expression" priority="484" dxfId="1024" stopIfTrue="1">
      <formula>TIPOORCAMENTO="PROPOSTO"</formula>
    </cfRule>
    <cfRule type="expression" priority="485" dxfId="1023" stopIfTrue="1">
      <formula>$C61=1</formula>
    </cfRule>
    <cfRule type="expression" priority="486" dxfId="1021" stopIfTrue="1">
      <formula>OR(AND(ISNUMBER($C61),$C61=0),$C61=2,$C61=3,$C61=4)</formula>
    </cfRule>
  </conditionalFormatting>
  <conditionalFormatting sqref="AM61:AN61">
    <cfRule type="expression" priority="487" dxfId="1024" stopIfTrue="1">
      <formula>TIPOORCAMENTO="PROPOSTO"</formula>
    </cfRule>
    <cfRule type="expression" priority="488" dxfId="1027" stopIfTrue="1">
      <formula>$C61=1</formula>
    </cfRule>
    <cfRule type="expression" priority="489" dxfId="1019" stopIfTrue="1">
      <formula>OR(AND(ISNUMBER($C61),$C61=0),$C61=2,$C61=3,$C61=4)</formula>
    </cfRule>
  </conditionalFormatting>
  <conditionalFormatting sqref="T31:T32">
    <cfRule type="expression" priority="474" dxfId="1023" stopIfTrue="1">
      <formula>$C31=1</formula>
    </cfRule>
    <cfRule type="expression" priority="475" dxfId="1021" stopIfTrue="1">
      <formula>OR($C31=0,$C31=2,$C31=3,$C31=4)</formula>
    </cfRule>
  </conditionalFormatting>
  <conditionalFormatting sqref="T35:T36">
    <cfRule type="expression" priority="472" dxfId="1023" stopIfTrue="1">
      <formula>$C35=1</formula>
    </cfRule>
    <cfRule type="expression" priority="473" dxfId="1021" stopIfTrue="1">
      <formula>OR($C35=0,$C35=2,$C35=3,$C35=4)</formula>
    </cfRule>
  </conditionalFormatting>
  <conditionalFormatting sqref="T39:T42">
    <cfRule type="expression" priority="470" dxfId="1023" stopIfTrue="1">
      <formula>$C39=1</formula>
    </cfRule>
    <cfRule type="expression" priority="471" dxfId="1021" stopIfTrue="1">
      <formula>OR($C39=0,$C39=2,$C39=3,$C39=4)</formula>
    </cfRule>
  </conditionalFormatting>
  <conditionalFormatting sqref="T83:T85">
    <cfRule type="expression" priority="446" dxfId="1023" stopIfTrue="1">
      <formula>$C83=1</formula>
    </cfRule>
    <cfRule type="expression" priority="447" dxfId="1021" stopIfTrue="1">
      <formula>OR($C83=0,$C83=2,$C83=3,$C83=4)</formula>
    </cfRule>
  </conditionalFormatting>
  <conditionalFormatting sqref="T46">
    <cfRule type="expression" priority="466" dxfId="1023" stopIfTrue="1">
      <formula>$C46=1</formula>
    </cfRule>
    <cfRule type="expression" priority="467" dxfId="1021" stopIfTrue="1">
      <formula>OR($C46=0,$C46=2,$C46=3,$C46=4)</formula>
    </cfRule>
  </conditionalFormatting>
  <conditionalFormatting sqref="T49">
    <cfRule type="expression" priority="464" dxfId="1023" stopIfTrue="1">
      <formula>$C49=1</formula>
    </cfRule>
    <cfRule type="expression" priority="465" dxfId="1021" stopIfTrue="1">
      <formula>OR($C49=0,$C49=2,$C49=3,$C49=4)</formula>
    </cfRule>
  </conditionalFormatting>
  <conditionalFormatting sqref="T52:T53">
    <cfRule type="expression" priority="462" dxfId="1023" stopIfTrue="1">
      <formula>$C52=1</formula>
    </cfRule>
    <cfRule type="expression" priority="463" dxfId="1021" stopIfTrue="1">
      <formula>OR($C52=0,$C52=2,$C52=3,$C52=4)</formula>
    </cfRule>
  </conditionalFormatting>
  <conditionalFormatting sqref="T56:T57">
    <cfRule type="expression" priority="460" dxfId="1023" stopIfTrue="1">
      <formula>$C56=1</formula>
    </cfRule>
    <cfRule type="expression" priority="461" dxfId="1021" stopIfTrue="1">
      <formula>OR($C56=0,$C56=2,$C56=3,$C56=4)</formula>
    </cfRule>
  </conditionalFormatting>
  <conditionalFormatting sqref="T59:T61">
    <cfRule type="expression" priority="458" dxfId="1023" stopIfTrue="1">
      <formula>$C59=1</formula>
    </cfRule>
    <cfRule type="expression" priority="459" dxfId="1021" stopIfTrue="1">
      <formula>OR($C59=0,$C59=2,$C59=3,$C59=4)</formula>
    </cfRule>
  </conditionalFormatting>
  <conditionalFormatting sqref="T64:T65">
    <cfRule type="expression" priority="456" dxfId="1023" stopIfTrue="1">
      <formula>$C64=1</formula>
    </cfRule>
    <cfRule type="expression" priority="457" dxfId="1021" stopIfTrue="1">
      <formula>OR($C64=0,$C64=2,$C64=3,$C64=4)</formula>
    </cfRule>
  </conditionalFormatting>
  <conditionalFormatting sqref="T69">
    <cfRule type="expression" priority="454" dxfId="1023" stopIfTrue="1">
      <formula>$C69=1</formula>
    </cfRule>
    <cfRule type="expression" priority="455" dxfId="1021" stopIfTrue="1">
      <formula>OR($C69=0,$C69=2,$C69=3,$C69=4)</formula>
    </cfRule>
  </conditionalFormatting>
  <conditionalFormatting sqref="T72:T73">
    <cfRule type="expression" priority="452" dxfId="1023" stopIfTrue="1">
      <formula>$C72=1</formula>
    </cfRule>
    <cfRule type="expression" priority="453" dxfId="1021" stopIfTrue="1">
      <formula>OR($C72=0,$C72=2,$C72=3,$C72=4)</formula>
    </cfRule>
  </conditionalFormatting>
  <conditionalFormatting sqref="T79:T81">
    <cfRule type="expression" priority="448" dxfId="1023" stopIfTrue="1">
      <formula>$C79=1</formula>
    </cfRule>
    <cfRule type="expression" priority="449" dxfId="1021" stopIfTrue="1">
      <formula>OR($C79=0,$C79=2,$C79=3,$C79=4)</formula>
    </cfRule>
  </conditionalFormatting>
  <conditionalFormatting sqref="T148">
    <cfRule type="expression" priority="424" dxfId="1023" stopIfTrue="1">
      <formula>$C148=1</formula>
    </cfRule>
    <cfRule type="expression" priority="425" dxfId="1021" stopIfTrue="1">
      <formula>OR($C148=0,$C148=2,$C148=3,$C148=4)</formula>
    </cfRule>
  </conditionalFormatting>
  <conditionalFormatting sqref="T87:T92">
    <cfRule type="expression" priority="444" dxfId="1023" stopIfTrue="1">
      <formula>$C87=1</formula>
    </cfRule>
    <cfRule type="expression" priority="445" dxfId="1021" stopIfTrue="1">
      <formula>OR($C87=0,$C87=2,$C87=3,$C87=4)</formula>
    </cfRule>
  </conditionalFormatting>
  <conditionalFormatting sqref="T95:T97">
    <cfRule type="expression" priority="442" dxfId="1023" stopIfTrue="1">
      <formula>$C95=1</formula>
    </cfRule>
    <cfRule type="expression" priority="443" dxfId="1021" stopIfTrue="1">
      <formula>OR($C95=0,$C95=2,$C95=3,$C95=4)</formula>
    </cfRule>
  </conditionalFormatting>
  <conditionalFormatting sqref="T99:T100">
    <cfRule type="expression" priority="440" dxfId="1023" stopIfTrue="1">
      <formula>$C99=1</formula>
    </cfRule>
    <cfRule type="expression" priority="441" dxfId="1021" stopIfTrue="1">
      <formula>OR($C99=0,$C99=2,$C99=3,$C99=4)</formula>
    </cfRule>
  </conditionalFormatting>
  <conditionalFormatting sqref="T102:T111">
    <cfRule type="expression" priority="438" dxfId="1023" stopIfTrue="1">
      <formula>$C102=1</formula>
    </cfRule>
    <cfRule type="expression" priority="439" dxfId="1021" stopIfTrue="1">
      <formula>OR($C102=0,$C102=2,$C102=3,$C102=4)</formula>
    </cfRule>
  </conditionalFormatting>
  <conditionalFormatting sqref="T114:T116">
    <cfRule type="expression" priority="436" dxfId="1023" stopIfTrue="1">
      <formula>$C114=1</formula>
    </cfRule>
    <cfRule type="expression" priority="437" dxfId="1021" stopIfTrue="1">
      <formula>OR($C114=0,$C114=2,$C114=3,$C114=4)</formula>
    </cfRule>
  </conditionalFormatting>
  <conditionalFormatting sqref="T119:T124">
    <cfRule type="expression" priority="434" dxfId="1023" stopIfTrue="1">
      <formula>$C119=1</formula>
    </cfRule>
    <cfRule type="expression" priority="435" dxfId="1021" stopIfTrue="1">
      <formula>OR($C119=0,$C119=2,$C119=3,$C119=4)</formula>
    </cfRule>
  </conditionalFormatting>
  <conditionalFormatting sqref="T126:T134">
    <cfRule type="expression" priority="432" dxfId="1023" stopIfTrue="1">
      <formula>$C126=1</formula>
    </cfRule>
    <cfRule type="expression" priority="433" dxfId="1021" stopIfTrue="1">
      <formula>OR($C126=0,$C126=2,$C126=3,$C126=4)</formula>
    </cfRule>
  </conditionalFormatting>
  <conditionalFormatting sqref="T138:T140">
    <cfRule type="expression" priority="430" dxfId="1023" stopIfTrue="1">
      <formula>$C138=1</formula>
    </cfRule>
    <cfRule type="expression" priority="431" dxfId="1021" stopIfTrue="1">
      <formula>OR($C138=0,$C138=2,$C138=3,$C138=4)</formula>
    </cfRule>
  </conditionalFormatting>
  <conditionalFormatting sqref="T143:T145">
    <cfRule type="expression" priority="426" dxfId="1023" stopIfTrue="1">
      <formula>$C143=1</formula>
    </cfRule>
    <cfRule type="expression" priority="427" dxfId="1021" stopIfTrue="1">
      <formula>OR($C143=0,$C143=2,$C143=3,$C143=4)</formula>
    </cfRule>
  </conditionalFormatting>
  <conditionalFormatting sqref="T198:T199">
    <cfRule type="expression" priority="400" dxfId="1023" stopIfTrue="1">
      <formula>$C198=1</formula>
    </cfRule>
    <cfRule type="expression" priority="401" dxfId="1021" stopIfTrue="1">
      <formula>OR($C198=0,$C198=2,$C198=3,$C198=4)</formula>
    </cfRule>
  </conditionalFormatting>
  <conditionalFormatting sqref="T152:T154">
    <cfRule type="expression" priority="422" dxfId="1023" stopIfTrue="1">
      <formula>$C152=1</formula>
    </cfRule>
    <cfRule type="expression" priority="423" dxfId="1021" stopIfTrue="1">
      <formula>OR($C152=0,$C152=2,$C152=3,$C152=4)</formula>
    </cfRule>
  </conditionalFormatting>
  <conditionalFormatting sqref="T155:T156">
    <cfRule type="expression" priority="420" dxfId="1023" stopIfTrue="1">
      <formula>$C155=1</formula>
    </cfRule>
    <cfRule type="expression" priority="421" dxfId="1021" stopIfTrue="1">
      <formula>OR($C155=0,$C155=2,$C155=3,$C155=4)</formula>
    </cfRule>
  </conditionalFormatting>
  <conditionalFormatting sqref="T160:T162">
    <cfRule type="expression" priority="418" dxfId="1023" stopIfTrue="1">
      <formula>$C160=1</formula>
    </cfRule>
    <cfRule type="expression" priority="419" dxfId="1021" stopIfTrue="1">
      <formula>OR($C160=0,$C160=2,$C160=3,$C160=4)</formula>
    </cfRule>
  </conditionalFormatting>
  <conditionalFormatting sqref="T163:T164">
    <cfRule type="expression" priority="416" dxfId="1023" stopIfTrue="1">
      <formula>$C163=1</formula>
    </cfRule>
    <cfRule type="expression" priority="417" dxfId="1021" stopIfTrue="1">
      <formula>OR($C163=0,$C163=2,$C163=3,$C163=4)</formula>
    </cfRule>
  </conditionalFormatting>
  <conditionalFormatting sqref="T168">
    <cfRule type="expression" priority="414" dxfId="1023" stopIfTrue="1">
      <formula>$C168=1</formula>
    </cfRule>
    <cfRule type="expression" priority="415" dxfId="1021" stopIfTrue="1">
      <formula>OR($C168=0,$C168=2,$C168=3,$C168=4)</formula>
    </cfRule>
  </conditionalFormatting>
  <conditionalFormatting sqref="T170:T171">
    <cfRule type="expression" priority="412" dxfId="1023" stopIfTrue="1">
      <formula>$C170=1</formula>
    </cfRule>
    <cfRule type="expression" priority="413" dxfId="1021" stopIfTrue="1">
      <formula>OR($C170=0,$C170=2,$C170=3,$C170=4)</formula>
    </cfRule>
  </conditionalFormatting>
  <conditionalFormatting sqref="T175:T176">
    <cfRule type="expression" priority="410" dxfId="1023" stopIfTrue="1">
      <formula>$C175=1</formula>
    </cfRule>
    <cfRule type="expression" priority="411" dxfId="1021" stopIfTrue="1">
      <formula>OR($C175=0,$C175=2,$C175=3,$C175=4)</formula>
    </cfRule>
  </conditionalFormatting>
  <conditionalFormatting sqref="T180:T181">
    <cfRule type="expression" priority="408" dxfId="1023" stopIfTrue="1">
      <formula>$C180=1</formula>
    </cfRule>
    <cfRule type="expression" priority="409" dxfId="1021" stopIfTrue="1">
      <formula>OR($C180=0,$C180=2,$C180=3,$C180=4)</formula>
    </cfRule>
  </conditionalFormatting>
  <conditionalFormatting sqref="T185:T186">
    <cfRule type="expression" priority="406" dxfId="1023" stopIfTrue="1">
      <formula>$C185=1</formula>
    </cfRule>
    <cfRule type="expression" priority="407" dxfId="1021" stopIfTrue="1">
      <formula>OR($C185=0,$C185=2,$C185=3,$C185=4)</formula>
    </cfRule>
  </conditionalFormatting>
  <conditionalFormatting sqref="T190:T191">
    <cfRule type="expression" priority="404" dxfId="1023" stopIfTrue="1">
      <formula>$C190=1</formula>
    </cfRule>
    <cfRule type="expression" priority="405" dxfId="1021" stopIfTrue="1">
      <formula>OR($C190=0,$C190=2,$C190=3,$C190=4)</formula>
    </cfRule>
  </conditionalFormatting>
  <conditionalFormatting sqref="T194:T195">
    <cfRule type="expression" priority="402" dxfId="1023" stopIfTrue="1">
      <formula>$C194=1</formula>
    </cfRule>
    <cfRule type="expression" priority="403" dxfId="1021" stopIfTrue="1">
      <formula>OR($C194=0,$C194=2,$C194=3,$C194=4)</formula>
    </cfRule>
  </conditionalFormatting>
  <conditionalFormatting sqref="T201:T208">
    <cfRule type="expression" priority="398" dxfId="1023" stopIfTrue="1">
      <formula>$C201=1</formula>
    </cfRule>
    <cfRule type="expression" priority="399" dxfId="1021" stopIfTrue="1">
      <formula>OR($C201=0,$C201=2,$C201=3,$C201=4)</formula>
    </cfRule>
  </conditionalFormatting>
  <conditionalFormatting sqref="T215:T216">
    <cfRule type="expression" priority="396" dxfId="1023" stopIfTrue="1">
      <formula>$C215=1</formula>
    </cfRule>
    <cfRule type="expression" priority="397" dxfId="1021" stopIfTrue="1">
      <formula>OR($C215=0,$C215=2,$C215=3,$C215=4)</formula>
    </cfRule>
  </conditionalFormatting>
  <conditionalFormatting sqref="T221:T222">
    <cfRule type="expression" priority="394" dxfId="1023" stopIfTrue="1">
      <formula>$C221=1</formula>
    </cfRule>
    <cfRule type="expression" priority="395" dxfId="1021" stopIfTrue="1">
      <formula>OR($C221=0,$C221=2,$C221=3,$C221=4)</formula>
    </cfRule>
  </conditionalFormatting>
  <conditionalFormatting sqref="M43">
    <cfRule type="cellIs" priority="358" dxfId="1017" operator="notEqual" stopIfTrue="1">
      <formula>$N43</formula>
    </cfRule>
  </conditionalFormatting>
  <conditionalFormatting sqref="N43:O43 R43 W43:X43">
    <cfRule type="expression" priority="359" dxfId="1018" stopIfTrue="1">
      <formula>$C43=1</formula>
    </cfRule>
    <cfRule type="expression" priority="360" dxfId="1019" stopIfTrue="1">
      <formula>OR($C43=0,$C43=2,$C43=3,$C43=4)</formula>
    </cfRule>
  </conditionalFormatting>
  <conditionalFormatting sqref="P43:Q43 S43 Y43 AG43:AH43">
    <cfRule type="expression" priority="361" dxfId="1023" stopIfTrue="1">
      <formula>$C43=1</formula>
    </cfRule>
    <cfRule type="expression" priority="362" dxfId="1021" stopIfTrue="1">
      <formula>OR($C43=0,$C43=2,$C43=3,$C43=4)</formula>
    </cfRule>
  </conditionalFormatting>
  <conditionalFormatting sqref="AJ43">
    <cfRule type="expression" priority="363" dxfId="1024" stopIfTrue="1">
      <formula>OR(ACOMPANHAMENTO&lt;&gt;"BM",TIPOORCAMENTO="Licitado")</formula>
    </cfRule>
    <cfRule type="expression" priority="364" dxfId="1023" stopIfTrue="1">
      <formula>$C43=1</formula>
    </cfRule>
    <cfRule type="expression" priority="365" dxfId="1021" stopIfTrue="1">
      <formula>OR(AND(ISNUMBER($C43),$C43=0),$C43=2,$C43=3,$C43=4)</formula>
    </cfRule>
  </conditionalFormatting>
  <conditionalFormatting sqref="AL43">
    <cfRule type="expression" priority="366" dxfId="1024" stopIfTrue="1">
      <formula>TIPOORCAMENTO="PROPOSTO"</formula>
    </cfRule>
    <cfRule type="expression" priority="367" dxfId="1023" stopIfTrue="1">
      <formula>$C43=1</formula>
    </cfRule>
    <cfRule type="expression" priority="368" dxfId="1021" stopIfTrue="1">
      <formula>OR(AND(ISNUMBER($C43),$C43=0),$C43=2,$C43=3,$C43=4)</formula>
    </cfRule>
  </conditionalFormatting>
  <conditionalFormatting sqref="AM43:AN43">
    <cfRule type="expression" priority="369" dxfId="1024" stopIfTrue="1">
      <formula>TIPOORCAMENTO="PROPOSTO"</formula>
    </cfRule>
    <cfRule type="expression" priority="370" dxfId="1027" stopIfTrue="1">
      <formula>$C43=1</formula>
    </cfRule>
    <cfRule type="expression" priority="371" dxfId="1019" stopIfTrue="1">
      <formula>OR(AND(ISNUMBER($C43),$C43=0),$C43=2,$C43=3,$C43=4)</formula>
    </cfRule>
  </conditionalFormatting>
  <conditionalFormatting sqref="V43">
    <cfRule type="expression" priority="355" dxfId="1020" stopIfTrue="1">
      <formula>$C43=1</formula>
    </cfRule>
    <cfRule type="expression" priority="356" dxfId="1021" stopIfTrue="1">
      <formula>OR($C43=0,$C43=2,$C43=3,$C43=4)</formula>
    </cfRule>
    <cfRule type="expression" priority="357" dxfId="1022" stopIfTrue="1">
      <formula>AND(TIPOORCAMENTO="Licitado",$C43&lt;&gt;"L",$C43&lt;&gt;-1)</formula>
    </cfRule>
  </conditionalFormatting>
  <conditionalFormatting sqref="U43">
    <cfRule type="expression" priority="352" dxfId="1020" stopIfTrue="1">
      <formula>$C43=1</formula>
    </cfRule>
    <cfRule type="expression" priority="353" dxfId="1021" stopIfTrue="1">
      <formula>OR($C43=0,$C43=2,$C43=3,$C43=4)</formula>
    </cfRule>
    <cfRule type="expression" priority="354" dxfId="1022" stopIfTrue="1">
      <formula>AND(TIPOORCAMENTO="Licitado",$C43&lt;&gt;"L",$C43&lt;&gt;-1)</formula>
    </cfRule>
  </conditionalFormatting>
  <conditionalFormatting sqref="T43">
    <cfRule type="expression" priority="350" dxfId="1023" stopIfTrue="1">
      <formula>$C43=1</formula>
    </cfRule>
    <cfRule type="expression" priority="351" dxfId="1021" stopIfTrue="1">
      <formula>OR($C43=0,$C43=2,$C43=3,$C43=4)</formula>
    </cfRule>
  </conditionalFormatting>
  <conditionalFormatting sqref="M47">
    <cfRule type="cellIs" priority="336" dxfId="1017" operator="notEqual" stopIfTrue="1">
      <formula>$N47</formula>
    </cfRule>
  </conditionalFormatting>
  <conditionalFormatting sqref="W47:X47 R47 N47:O47">
    <cfRule type="expression" priority="337" dxfId="1018" stopIfTrue="1">
      <formula>$C47=1</formula>
    </cfRule>
    <cfRule type="expression" priority="338" dxfId="1019" stopIfTrue="1">
      <formula>OR($C47=0,$C47=2,$C47=3,$C47=4)</formula>
    </cfRule>
  </conditionalFormatting>
  <conditionalFormatting sqref="AG47:AH47 Y47 P47:Q47 S47">
    <cfRule type="expression" priority="339" dxfId="1023" stopIfTrue="1">
      <formula>$C47=1</formula>
    </cfRule>
    <cfRule type="expression" priority="340" dxfId="1021" stopIfTrue="1">
      <formula>OR($C47=0,$C47=2,$C47=3,$C47=4)</formula>
    </cfRule>
  </conditionalFormatting>
  <conditionalFormatting sqref="AJ47">
    <cfRule type="expression" priority="341" dxfId="1024" stopIfTrue="1">
      <formula>OR(ACOMPANHAMENTO&lt;&gt;"BM",TIPOORCAMENTO="Licitado")</formula>
    </cfRule>
    <cfRule type="expression" priority="342" dxfId="1023" stopIfTrue="1">
      <formula>$C47=1</formula>
    </cfRule>
    <cfRule type="expression" priority="343" dxfId="1021" stopIfTrue="1">
      <formula>OR(AND(ISNUMBER($C47),$C47=0),$C47=2,$C47=3,$C47=4)</formula>
    </cfRule>
  </conditionalFormatting>
  <conditionalFormatting sqref="AL47">
    <cfRule type="expression" priority="344" dxfId="1024" stopIfTrue="1">
      <formula>TIPOORCAMENTO="PROPOSTO"</formula>
    </cfRule>
    <cfRule type="expression" priority="345" dxfId="1023" stopIfTrue="1">
      <formula>$C47=1</formula>
    </cfRule>
    <cfRule type="expression" priority="346" dxfId="1021" stopIfTrue="1">
      <formula>OR(AND(ISNUMBER($C47),$C47=0),$C47=2,$C47=3,$C47=4)</formula>
    </cfRule>
  </conditionalFormatting>
  <conditionalFormatting sqref="AM47:AN47">
    <cfRule type="expression" priority="347" dxfId="1024" stopIfTrue="1">
      <formula>TIPOORCAMENTO="PROPOSTO"</formula>
    </cfRule>
    <cfRule type="expression" priority="348" dxfId="1027" stopIfTrue="1">
      <formula>$C47=1</formula>
    </cfRule>
    <cfRule type="expression" priority="349" dxfId="1019" stopIfTrue="1">
      <formula>OR(AND(ISNUMBER($C47),$C47=0),$C47=2,$C47=3,$C47=4)</formula>
    </cfRule>
  </conditionalFormatting>
  <conditionalFormatting sqref="V47">
    <cfRule type="expression" priority="333" dxfId="1020" stopIfTrue="1">
      <formula>$C47=1</formula>
    </cfRule>
    <cfRule type="expression" priority="334" dxfId="1021" stopIfTrue="1">
      <formula>OR($C47=0,$C47=2,$C47=3,$C47=4)</formula>
    </cfRule>
    <cfRule type="expression" priority="335" dxfId="1022" stopIfTrue="1">
      <formula>AND(TIPOORCAMENTO="Licitado",$C47&lt;&gt;"L",$C47&lt;&gt;-1)</formula>
    </cfRule>
  </conditionalFormatting>
  <conditionalFormatting sqref="U47">
    <cfRule type="expression" priority="330" dxfId="1020" stopIfTrue="1">
      <formula>$C47=1</formula>
    </cfRule>
    <cfRule type="expression" priority="331" dxfId="1021" stopIfTrue="1">
      <formula>OR($C47=0,$C47=2,$C47=3,$C47=4)</formula>
    </cfRule>
    <cfRule type="expression" priority="332" dxfId="1022" stopIfTrue="1">
      <formula>AND(TIPOORCAMENTO="Licitado",$C47&lt;&gt;"L",$C47&lt;&gt;-1)</formula>
    </cfRule>
  </conditionalFormatting>
  <conditionalFormatting sqref="T47">
    <cfRule type="expression" priority="328" dxfId="1023" stopIfTrue="1">
      <formula>$C47=1</formula>
    </cfRule>
    <cfRule type="expression" priority="329" dxfId="1021" stopIfTrue="1">
      <formula>OR($C47=0,$C47=2,$C47=3,$C47=4)</formula>
    </cfRule>
  </conditionalFormatting>
  <conditionalFormatting sqref="Q68:Q69">
    <cfRule type="expression" priority="282" dxfId="1023" stopIfTrue="1">
      <formula>$C68=1</formula>
    </cfRule>
    <cfRule type="expression" priority="283" dxfId="1021" stopIfTrue="1">
      <formula>OR($C68=0,$C68=2,$C68=3,$C68=4)</formula>
    </cfRule>
  </conditionalFormatting>
  <conditionalFormatting sqref="U68">
    <cfRule type="expression" priority="303" dxfId="1020" stopIfTrue="1">
      <formula>$C68=1</formula>
    </cfRule>
    <cfRule type="expression" priority="304" dxfId="1021" stopIfTrue="1">
      <formula>OR($C68=0,$C68=2,$C68=3,$C68=4)</formula>
    </cfRule>
    <cfRule type="expression" priority="305" dxfId="1022" stopIfTrue="1">
      <formula>AND(TIPOORCAMENTO="Licitado",$C68&lt;&gt;"L",$C68&lt;&gt;-1)</formula>
    </cfRule>
  </conditionalFormatting>
  <conditionalFormatting sqref="M68">
    <cfRule type="cellIs" priority="286" dxfId="1017" operator="notEqual" stopIfTrue="1">
      <formula>$N68</formula>
    </cfRule>
  </conditionalFormatting>
  <conditionalFormatting sqref="N68:O68 R68 W68:X68">
    <cfRule type="expression" priority="287" dxfId="1018" stopIfTrue="1">
      <formula>$C68=1</formula>
    </cfRule>
    <cfRule type="expression" priority="288" dxfId="1019" stopIfTrue="1">
      <formula>OR($C68=0,$C68=2,$C68=3,$C68=4)</formula>
    </cfRule>
  </conditionalFormatting>
  <conditionalFormatting sqref="V68">
    <cfRule type="expression" priority="289" dxfId="1020" stopIfTrue="1">
      <formula>$C68=1</formula>
    </cfRule>
    <cfRule type="expression" priority="290" dxfId="1021" stopIfTrue="1">
      <formula>OR($C68=0,$C68=2,$C68=3,$C68=4)</formula>
    </cfRule>
    <cfRule type="expression" priority="291" dxfId="1022" stopIfTrue="1">
      <formula>AND(TIPOORCAMENTO="Licitado",$C68&lt;&gt;"L",$C68&lt;&gt;-1)</formula>
    </cfRule>
  </conditionalFormatting>
  <conditionalFormatting sqref="S68 Y68 AG68:AH68">
    <cfRule type="expression" priority="292" dxfId="1023" stopIfTrue="1">
      <formula>$C68=1</formula>
    </cfRule>
    <cfRule type="expression" priority="293" dxfId="1021" stopIfTrue="1">
      <formula>OR($C68=0,$C68=2,$C68=3,$C68=4)</formula>
    </cfRule>
  </conditionalFormatting>
  <conditionalFormatting sqref="AJ68">
    <cfRule type="expression" priority="294" dxfId="1024" stopIfTrue="1">
      <formula>OR(ACOMPANHAMENTO&lt;&gt;"BM",TIPOORCAMENTO="Licitado")</formula>
    </cfRule>
    <cfRule type="expression" priority="295" dxfId="1023" stopIfTrue="1">
      <formula>$C68=1</formula>
    </cfRule>
    <cfRule type="expression" priority="296" dxfId="1021" stopIfTrue="1">
      <formula>OR(AND(ISNUMBER($C68),$C68=0),$C68=2,$C68=3,$C68=4)</formula>
    </cfRule>
  </conditionalFormatting>
  <conditionalFormatting sqref="AL68">
    <cfRule type="expression" priority="297" dxfId="1024" stopIfTrue="1">
      <formula>TIPOORCAMENTO="PROPOSTO"</formula>
    </cfRule>
    <cfRule type="expression" priority="298" dxfId="1023" stopIfTrue="1">
      <formula>$C68=1</formula>
    </cfRule>
    <cfRule type="expression" priority="299" dxfId="1021" stopIfTrue="1">
      <formula>OR(AND(ISNUMBER($C68),$C68=0),$C68=2,$C68=3,$C68=4)</formula>
    </cfRule>
  </conditionalFormatting>
  <conditionalFormatting sqref="AM68:AN68">
    <cfRule type="expression" priority="300" dxfId="1024" stopIfTrue="1">
      <formula>TIPOORCAMENTO="PROPOSTO"</formula>
    </cfRule>
    <cfRule type="expression" priority="301" dxfId="1027" stopIfTrue="1">
      <formula>$C68=1</formula>
    </cfRule>
    <cfRule type="expression" priority="302" dxfId="1019" stopIfTrue="1">
      <formula>OR(AND(ISNUMBER($C68),$C68=0),$C68=2,$C68=3,$C68=4)</formula>
    </cfRule>
  </conditionalFormatting>
  <conditionalFormatting sqref="T68">
    <cfRule type="expression" priority="284" dxfId="1023" stopIfTrue="1">
      <formula>$C68=1</formula>
    </cfRule>
    <cfRule type="expression" priority="285" dxfId="1021" stopIfTrue="1">
      <formula>OR($C68=0,$C68=2,$C68=3,$C68=4)</formula>
    </cfRule>
  </conditionalFormatting>
  <conditionalFormatting sqref="P68:P69">
    <cfRule type="expression" priority="280" dxfId="1023" stopIfTrue="1">
      <formula>$C68=1</formula>
    </cfRule>
    <cfRule type="expression" priority="281" dxfId="1021" stopIfTrue="1">
      <formula>OR($C68=0,$C68=2,$C68=3,$C68=4)</formula>
    </cfRule>
  </conditionalFormatting>
  <conditionalFormatting sqref="R83">
    <cfRule type="expression" priority="278" dxfId="1018" stopIfTrue="1">
      <formula>$C83=1</formula>
    </cfRule>
    <cfRule type="expression" priority="279" dxfId="1019" stopIfTrue="1">
      <formula>OR($C83=0,$C83=2,$C83=3,$C83=4)</formula>
    </cfRule>
  </conditionalFormatting>
  <conditionalFormatting sqref="R130">
    <cfRule type="expression" priority="274" dxfId="1018" stopIfTrue="1">
      <formula>$C130=1</formula>
    </cfRule>
    <cfRule type="expression" priority="275" dxfId="1019" stopIfTrue="1">
      <formula>OR($C130=0,$C130=2,$C130=3,$C130=4)</formula>
    </cfRule>
  </conditionalFormatting>
  <conditionalFormatting sqref="Q130 S130">
    <cfRule type="expression" priority="276" dxfId="1023" stopIfTrue="1">
      <formula>$C130=1</formula>
    </cfRule>
    <cfRule type="expression" priority="277" dxfId="1021" stopIfTrue="1">
      <formula>OR($C130=0,$C130=2,$C130=3,$C130=4)</formula>
    </cfRule>
  </conditionalFormatting>
  <conditionalFormatting sqref="AG130">
    <cfRule type="expression" priority="272" dxfId="1023" stopIfTrue="1">
      <formula>$C130=1</formula>
    </cfRule>
    <cfRule type="expression" priority="273" dxfId="1021" stopIfTrue="1">
      <formula>OR($C130=0,$C130=2,$C130=3,$C130=4)</formula>
    </cfRule>
  </conditionalFormatting>
  <conditionalFormatting sqref="AJ59">
    <cfRule type="expression" priority="267" dxfId="1024" stopIfTrue="1">
      <formula>OR(ACOMPANHAMENTO&lt;&gt;"BM",TIPOORCAMENTO="Licitado")</formula>
    </cfRule>
    <cfRule type="expression" priority="268" dxfId="1023" stopIfTrue="1">
      <formula>$C59=1</formula>
    </cfRule>
    <cfRule type="expression" priority="269" dxfId="1021" stopIfTrue="1">
      <formula>OR(AND(ISNUMBER($C59),$C59=0),$C59=2,$C59=3,$C59=4)</formula>
    </cfRule>
  </conditionalFormatting>
  <conditionalFormatting sqref="AJ130">
    <cfRule type="expression" priority="264" dxfId="1024" stopIfTrue="1">
      <formula>OR(ACOMPANHAMENTO&lt;&gt;"BM",TIPOORCAMENTO="Licitado")</formula>
    </cfRule>
    <cfRule type="expression" priority="265" dxfId="1023" stopIfTrue="1">
      <formula>$C130=1</formula>
    </cfRule>
    <cfRule type="expression" priority="266" dxfId="1021" stopIfTrue="1">
      <formula>OR(AND(ISNUMBER($C130),$C130=0),$C130=2,$C130=3,$C130=4)</formula>
    </cfRule>
  </conditionalFormatting>
  <conditionalFormatting sqref="M146">
    <cfRule type="cellIs" priority="250" dxfId="1017" operator="notEqual" stopIfTrue="1">
      <formula>$N146</formula>
    </cfRule>
  </conditionalFormatting>
  <conditionalFormatting sqref="N146:O146 R146 W146:X146">
    <cfRule type="expression" priority="251" dxfId="1018" stopIfTrue="1">
      <formula>$C146=1</formula>
    </cfRule>
    <cfRule type="expression" priority="252" dxfId="1019" stopIfTrue="1">
      <formula>OR($C146=0,$C146=2,$C146=3,$C146=4)</formula>
    </cfRule>
  </conditionalFormatting>
  <conditionalFormatting sqref="V146">
    <cfRule type="expression" priority="253" dxfId="1020" stopIfTrue="1">
      <formula>$C146=1</formula>
    </cfRule>
    <cfRule type="expression" priority="254" dxfId="1021" stopIfTrue="1">
      <formula>OR($C146=0,$C146=2,$C146=3,$C146=4)</formula>
    </cfRule>
    <cfRule type="expression" priority="255" dxfId="1022" stopIfTrue="1">
      <formula>AND(TIPOORCAMENTO="Licitado",$C146&lt;&gt;"L",$C146&lt;&gt;-1)</formula>
    </cfRule>
  </conditionalFormatting>
  <conditionalFormatting sqref="P146:Q146 S146 Y146 AG146:AH146">
    <cfRule type="expression" priority="256" dxfId="1023" stopIfTrue="1">
      <formula>$C146=1</formula>
    </cfRule>
    <cfRule type="expression" priority="257" dxfId="1021" stopIfTrue="1">
      <formula>OR($C146=0,$C146=2,$C146=3,$C146=4)</formula>
    </cfRule>
  </conditionalFormatting>
  <conditionalFormatting sqref="AL146">
    <cfRule type="expression" priority="258" dxfId="1024" stopIfTrue="1">
      <formula>TIPOORCAMENTO="PROPOSTO"</formula>
    </cfRule>
    <cfRule type="expression" priority="259" dxfId="1023" stopIfTrue="1">
      <formula>$C146=1</formula>
    </cfRule>
    <cfRule type="expression" priority="260" dxfId="1021" stopIfTrue="1">
      <formula>OR(AND(ISNUMBER($C146),$C146=0),$C146=2,$C146=3,$C146=4)</formula>
    </cfRule>
  </conditionalFormatting>
  <conditionalFormatting sqref="AM146:AN146">
    <cfRule type="expression" priority="261" dxfId="1024" stopIfTrue="1">
      <formula>TIPOORCAMENTO="PROPOSTO"</formula>
    </cfRule>
    <cfRule type="expression" priority="262" dxfId="1027" stopIfTrue="1">
      <formula>$C146=1</formula>
    </cfRule>
    <cfRule type="expression" priority="263" dxfId="1019" stopIfTrue="1">
      <formula>OR(AND(ISNUMBER($C146),$C146=0),$C146=2,$C146=3,$C146=4)</formula>
    </cfRule>
  </conditionalFormatting>
  <conditionalFormatting sqref="U146">
    <cfRule type="expression" priority="247" dxfId="1020" stopIfTrue="1">
      <formula>$C146=1</formula>
    </cfRule>
    <cfRule type="expression" priority="248" dxfId="1021" stopIfTrue="1">
      <formula>OR($C146=0,$C146=2,$C146=3,$C146=4)</formula>
    </cfRule>
    <cfRule type="expression" priority="249" dxfId="1022" stopIfTrue="1">
      <formula>AND(TIPOORCAMENTO="Licitado",$C146&lt;&gt;"L",$C146&lt;&gt;-1)</formula>
    </cfRule>
  </conditionalFormatting>
  <conditionalFormatting sqref="AJ146">
    <cfRule type="expression" priority="244" dxfId="1024" stopIfTrue="1">
      <formula>OR(ACOMPANHAMENTO&lt;&gt;"BM",TIPOORCAMENTO="Licitado")</formula>
    </cfRule>
    <cfRule type="expression" priority="245" dxfId="1023" stopIfTrue="1">
      <formula>$C146=1</formula>
    </cfRule>
    <cfRule type="expression" priority="246" dxfId="1021" stopIfTrue="1">
      <formula>OR(AND(ISNUMBER($C146),$C146=0),$C146=2,$C146=3,$C146=4)</formula>
    </cfRule>
  </conditionalFormatting>
  <conditionalFormatting sqref="T146">
    <cfRule type="expression" priority="242" dxfId="1023" stopIfTrue="1">
      <formula>$C146=1</formula>
    </cfRule>
    <cfRule type="expression" priority="243" dxfId="1021" stopIfTrue="1">
      <formula>OR($C146=0,$C146=2,$C146=3,$C146=4)</formula>
    </cfRule>
  </conditionalFormatting>
  <conditionalFormatting sqref="R208">
    <cfRule type="expression" priority="238" dxfId="1018" stopIfTrue="1">
      <formula>$C208=1</formula>
    </cfRule>
    <cfRule type="expression" priority="239" dxfId="1019" stopIfTrue="1">
      <formula>OR($C208=0,$C208=2,$C208=3,$C208=4)</formula>
    </cfRule>
  </conditionalFormatting>
  <conditionalFormatting sqref="S208 Q208">
    <cfRule type="expression" priority="240" dxfId="1023" stopIfTrue="1">
      <formula>$C208=1</formula>
    </cfRule>
    <cfRule type="expression" priority="241" dxfId="1021" stopIfTrue="1">
      <formula>OR($C208=0,$C208=2,$C208=3,$C208=4)</formula>
    </cfRule>
  </conditionalFormatting>
  <conditionalFormatting sqref="M217:M218">
    <cfRule type="cellIs" priority="224" dxfId="1017" operator="notEqual" stopIfTrue="1">
      <formula>$N217</formula>
    </cfRule>
  </conditionalFormatting>
  <conditionalFormatting sqref="N217:O218 R217:R218 W217:X218">
    <cfRule type="expression" priority="225" dxfId="1018" stopIfTrue="1">
      <formula>$C217=1</formula>
    </cfRule>
    <cfRule type="expression" priority="226" dxfId="1019" stopIfTrue="1">
      <formula>OR($C217=0,$C217=2,$C217=3,$C217=4)</formula>
    </cfRule>
  </conditionalFormatting>
  <conditionalFormatting sqref="Y217:Y218 AG217:AH218 P217:Q218 S217:S218">
    <cfRule type="expression" priority="227" dxfId="1023" stopIfTrue="1">
      <formula>$C217=1</formula>
    </cfRule>
    <cfRule type="expression" priority="228" dxfId="1021" stopIfTrue="1">
      <formula>OR($C217=0,$C217=2,$C217=3,$C217=4)</formula>
    </cfRule>
  </conditionalFormatting>
  <conditionalFormatting sqref="AJ217:AJ218">
    <cfRule type="expression" priority="229" dxfId="1024" stopIfTrue="1">
      <formula>OR(ACOMPANHAMENTO&lt;&gt;"BM",TIPOORCAMENTO="Licitado")</formula>
    </cfRule>
    <cfRule type="expression" priority="230" dxfId="1023" stopIfTrue="1">
      <formula>$C217=1</formula>
    </cfRule>
    <cfRule type="expression" priority="231" dxfId="1021" stopIfTrue="1">
      <formula>OR(AND(ISNUMBER($C217),$C217=0),$C217=2,$C217=3,$C217=4)</formula>
    </cfRule>
  </conditionalFormatting>
  <conditionalFormatting sqref="AL217:AL218">
    <cfRule type="expression" priority="232" dxfId="1024" stopIfTrue="1">
      <formula>TIPOORCAMENTO="PROPOSTO"</formula>
    </cfRule>
    <cfRule type="expression" priority="233" dxfId="1023" stopIfTrue="1">
      <formula>$C217=1</formula>
    </cfRule>
    <cfRule type="expression" priority="234" dxfId="1021" stopIfTrue="1">
      <formula>OR(AND(ISNUMBER($C217),$C217=0),$C217=2,$C217=3,$C217=4)</formula>
    </cfRule>
  </conditionalFormatting>
  <conditionalFormatting sqref="AM217:AN218">
    <cfRule type="expression" priority="235" dxfId="1024" stopIfTrue="1">
      <formula>TIPOORCAMENTO="PROPOSTO"</formula>
    </cfRule>
    <cfRule type="expression" priority="236" dxfId="1027" stopIfTrue="1">
      <formula>$C217=1</formula>
    </cfRule>
    <cfRule type="expression" priority="237" dxfId="1019" stopIfTrue="1">
      <formula>OR(AND(ISNUMBER($C217),$C217=0),$C217=2,$C217=3,$C217=4)</formula>
    </cfRule>
  </conditionalFormatting>
  <conditionalFormatting sqref="V217:V218">
    <cfRule type="expression" priority="221" dxfId="1020" stopIfTrue="1">
      <formula>$C217=1</formula>
    </cfRule>
    <cfRule type="expression" priority="222" dxfId="1021" stopIfTrue="1">
      <formula>OR($C217=0,$C217=2,$C217=3,$C217=4)</formula>
    </cfRule>
    <cfRule type="expression" priority="223" dxfId="1022" stopIfTrue="1">
      <formula>AND(TIPOORCAMENTO="Licitado",$C217&lt;&gt;"L",$C217&lt;&gt;-1)</formula>
    </cfRule>
  </conditionalFormatting>
  <conditionalFormatting sqref="U217:U218">
    <cfRule type="expression" priority="218" dxfId="1020" stopIfTrue="1">
      <formula>$C217=1</formula>
    </cfRule>
    <cfRule type="expression" priority="219" dxfId="1021" stopIfTrue="1">
      <formula>OR($C217=0,$C217=2,$C217=3,$C217=4)</formula>
    </cfRule>
    <cfRule type="expression" priority="220" dxfId="1022" stopIfTrue="1">
      <formula>AND(TIPOORCAMENTO="Licitado",$C217&lt;&gt;"L",$C217&lt;&gt;-1)</formula>
    </cfRule>
  </conditionalFormatting>
  <conditionalFormatting sqref="T217:T218">
    <cfRule type="expression" priority="216" dxfId="1023" stopIfTrue="1">
      <formula>$C217=1</formula>
    </cfRule>
    <cfRule type="expression" priority="217" dxfId="1021" stopIfTrue="1">
      <formula>OR($C217=0,$C217=2,$C217=3,$C217=4)</formula>
    </cfRule>
  </conditionalFormatting>
  <conditionalFormatting sqref="M211:M212">
    <cfRule type="cellIs" priority="202" dxfId="1017" operator="notEqual" stopIfTrue="1">
      <formula>$N211</formula>
    </cfRule>
  </conditionalFormatting>
  <conditionalFormatting sqref="W211:X212 R211:R212 N211:O212">
    <cfRule type="expression" priority="203" dxfId="1018" stopIfTrue="1">
      <formula>$C211=1</formula>
    </cfRule>
    <cfRule type="expression" priority="204" dxfId="1019" stopIfTrue="1">
      <formula>OR($C211=0,$C211=2,$C211=3,$C211=4)</formula>
    </cfRule>
  </conditionalFormatting>
  <conditionalFormatting sqref="S211:S212 P211:Q212 AG211:AH212 Y211:Y212">
    <cfRule type="expression" priority="205" dxfId="1023" stopIfTrue="1">
      <formula>$C211=1</formula>
    </cfRule>
    <cfRule type="expression" priority="206" dxfId="1021" stopIfTrue="1">
      <formula>OR($C211=0,$C211=2,$C211=3,$C211=4)</formula>
    </cfRule>
  </conditionalFormatting>
  <conditionalFormatting sqref="AJ211:AJ212">
    <cfRule type="expression" priority="207" dxfId="1024" stopIfTrue="1">
      <formula>OR(ACOMPANHAMENTO&lt;&gt;"BM",TIPOORCAMENTO="Licitado")</formula>
    </cfRule>
    <cfRule type="expression" priority="208" dxfId="1023" stopIfTrue="1">
      <formula>$C211=1</formula>
    </cfRule>
    <cfRule type="expression" priority="209" dxfId="1021" stopIfTrue="1">
      <formula>OR(AND(ISNUMBER($C211),$C211=0),$C211=2,$C211=3,$C211=4)</formula>
    </cfRule>
  </conditionalFormatting>
  <conditionalFormatting sqref="AL211:AL212">
    <cfRule type="expression" priority="210" dxfId="1024" stopIfTrue="1">
      <formula>TIPOORCAMENTO="PROPOSTO"</formula>
    </cfRule>
    <cfRule type="expression" priority="211" dxfId="1023" stopIfTrue="1">
      <formula>$C211=1</formula>
    </cfRule>
    <cfRule type="expression" priority="212" dxfId="1021" stopIfTrue="1">
      <formula>OR(AND(ISNUMBER($C211),$C211=0),$C211=2,$C211=3,$C211=4)</formula>
    </cfRule>
  </conditionalFormatting>
  <conditionalFormatting sqref="AM211:AN212">
    <cfRule type="expression" priority="213" dxfId="1024" stopIfTrue="1">
      <formula>TIPOORCAMENTO="PROPOSTO"</formula>
    </cfRule>
    <cfRule type="expression" priority="214" dxfId="1027" stopIfTrue="1">
      <formula>$C211=1</formula>
    </cfRule>
    <cfRule type="expression" priority="215" dxfId="1019" stopIfTrue="1">
      <formula>OR(AND(ISNUMBER($C211),$C211=0),$C211=2,$C211=3,$C211=4)</formula>
    </cfRule>
  </conditionalFormatting>
  <conditionalFormatting sqref="V211:V212">
    <cfRule type="expression" priority="199" dxfId="1020" stopIfTrue="1">
      <formula>$C211=1</formula>
    </cfRule>
    <cfRule type="expression" priority="200" dxfId="1021" stopIfTrue="1">
      <formula>OR($C211=0,$C211=2,$C211=3,$C211=4)</formula>
    </cfRule>
    <cfRule type="expression" priority="201" dxfId="1022" stopIfTrue="1">
      <formula>AND(TIPOORCAMENTO="Licitado",$C211&lt;&gt;"L",$C211&lt;&gt;-1)</formula>
    </cfRule>
  </conditionalFormatting>
  <conditionalFormatting sqref="U211:U212">
    <cfRule type="expression" priority="196" dxfId="1020" stopIfTrue="1">
      <formula>$C211=1</formula>
    </cfRule>
    <cfRule type="expression" priority="197" dxfId="1021" stopIfTrue="1">
      <formula>OR($C211=0,$C211=2,$C211=3,$C211=4)</formula>
    </cfRule>
    <cfRule type="expression" priority="198" dxfId="1022" stopIfTrue="1">
      <formula>AND(TIPOORCAMENTO="Licitado",$C211&lt;&gt;"L",$C211&lt;&gt;-1)</formula>
    </cfRule>
  </conditionalFormatting>
  <conditionalFormatting sqref="T211:T212">
    <cfRule type="expression" priority="194" dxfId="1023" stopIfTrue="1">
      <formula>$C211=1</formula>
    </cfRule>
    <cfRule type="expression" priority="195" dxfId="1021" stopIfTrue="1">
      <formula>OR($C211=0,$C211=2,$C211=3,$C211=4)</formula>
    </cfRule>
  </conditionalFormatting>
  <conditionalFormatting sqref="M213:M214">
    <cfRule type="cellIs" priority="180" dxfId="1017" operator="notEqual" stopIfTrue="1">
      <formula>$N213</formula>
    </cfRule>
  </conditionalFormatting>
  <conditionalFormatting sqref="N213:O214 R213:R214 W213:X214">
    <cfRule type="expression" priority="181" dxfId="1018" stopIfTrue="1">
      <formula>$C213=1</formula>
    </cfRule>
    <cfRule type="expression" priority="182" dxfId="1019" stopIfTrue="1">
      <formula>OR($C213=0,$C213=2,$C213=3,$C213=4)</formula>
    </cfRule>
  </conditionalFormatting>
  <conditionalFormatting sqref="Y213:Y214 AG213:AH214 P213:Q214 S213:S214">
    <cfRule type="expression" priority="183" dxfId="1023" stopIfTrue="1">
      <formula>$C213=1</formula>
    </cfRule>
    <cfRule type="expression" priority="184" dxfId="1021" stopIfTrue="1">
      <formula>OR($C213=0,$C213=2,$C213=3,$C213=4)</formula>
    </cfRule>
  </conditionalFormatting>
  <conditionalFormatting sqref="AJ213:AJ214">
    <cfRule type="expression" priority="185" dxfId="1024" stopIfTrue="1">
      <formula>OR(ACOMPANHAMENTO&lt;&gt;"BM",TIPOORCAMENTO="Licitado")</formula>
    </cfRule>
    <cfRule type="expression" priority="186" dxfId="1023" stopIfTrue="1">
      <formula>$C213=1</formula>
    </cfRule>
    <cfRule type="expression" priority="187" dxfId="1021" stopIfTrue="1">
      <formula>OR(AND(ISNUMBER($C213),$C213=0),$C213=2,$C213=3,$C213=4)</formula>
    </cfRule>
  </conditionalFormatting>
  <conditionalFormatting sqref="AL213:AL214">
    <cfRule type="expression" priority="188" dxfId="1024" stopIfTrue="1">
      <formula>TIPOORCAMENTO="PROPOSTO"</formula>
    </cfRule>
    <cfRule type="expression" priority="189" dxfId="1023" stopIfTrue="1">
      <formula>$C213=1</formula>
    </cfRule>
    <cfRule type="expression" priority="190" dxfId="1021" stopIfTrue="1">
      <formula>OR(AND(ISNUMBER($C213),$C213=0),$C213=2,$C213=3,$C213=4)</formula>
    </cfRule>
  </conditionalFormatting>
  <conditionalFormatting sqref="AM213:AN214">
    <cfRule type="expression" priority="191" dxfId="1024" stopIfTrue="1">
      <formula>TIPOORCAMENTO="PROPOSTO"</formula>
    </cfRule>
    <cfRule type="expression" priority="192" dxfId="1027" stopIfTrue="1">
      <formula>$C213=1</formula>
    </cfRule>
    <cfRule type="expression" priority="193" dxfId="1019" stopIfTrue="1">
      <formula>OR(AND(ISNUMBER($C213),$C213=0),$C213=2,$C213=3,$C213=4)</formula>
    </cfRule>
  </conditionalFormatting>
  <conditionalFormatting sqref="V213:V214">
    <cfRule type="expression" priority="177" dxfId="1020" stopIfTrue="1">
      <formula>$C213=1</formula>
    </cfRule>
    <cfRule type="expression" priority="178" dxfId="1021" stopIfTrue="1">
      <formula>OR($C213=0,$C213=2,$C213=3,$C213=4)</formula>
    </cfRule>
    <cfRule type="expression" priority="179" dxfId="1022" stopIfTrue="1">
      <formula>AND(TIPOORCAMENTO="Licitado",$C213&lt;&gt;"L",$C213&lt;&gt;-1)</formula>
    </cfRule>
  </conditionalFormatting>
  <conditionalFormatting sqref="U213:U214">
    <cfRule type="expression" priority="174" dxfId="1020" stopIfTrue="1">
      <formula>$C213=1</formula>
    </cfRule>
    <cfRule type="expression" priority="175" dxfId="1021" stopIfTrue="1">
      <formula>OR($C213=0,$C213=2,$C213=3,$C213=4)</formula>
    </cfRule>
    <cfRule type="expression" priority="176" dxfId="1022" stopIfTrue="1">
      <formula>AND(TIPOORCAMENTO="Licitado",$C213&lt;&gt;"L",$C213&lt;&gt;-1)</formula>
    </cfRule>
  </conditionalFormatting>
  <conditionalFormatting sqref="T213:T214">
    <cfRule type="expression" priority="172" dxfId="1023" stopIfTrue="1">
      <formula>$C213=1</formula>
    </cfRule>
    <cfRule type="expression" priority="173" dxfId="1021" stopIfTrue="1">
      <formula>OR($C213=0,$C213=2,$C213=3,$C213=4)</formula>
    </cfRule>
  </conditionalFormatting>
  <conditionalFormatting sqref="X34">
    <cfRule type="expression" priority="72" dxfId="1018" stopIfTrue="1">
      <formula>$C34=1</formula>
    </cfRule>
    <cfRule type="expression" priority="73" dxfId="1019" stopIfTrue="1">
      <formula>OR($C34=0,$C34=2,$C34=3,$C34=4)</formula>
    </cfRule>
  </conditionalFormatting>
  <conditionalFormatting sqref="X30">
    <cfRule type="expression" priority="64" dxfId="1018" stopIfTrue="1">
      <formula>$C30=1</formula>
    </cfRule>
    <cfRule type="expression" priority="65" dxfId="1019" stopIfTrue="1">
      <formula>OR($C30=0,$C30=2,$C30=3,$C30=4)</formula>
    </cfRule>
  </conditionalFormatting>
  <conditionalFormatting sqref="X117:X118 X112:X113 X101 X98 X93:X94 X86 X82 X78 X74:X75 X70:X71 X66:X67 X62:X63 X58 X54:X55 X50:X51 X48 X45 X38 X125 X135:X137 X142 X147 X149:X151 X157:X159 X165:X167 X169 X172:X174 X177:X179 X182:X184 X187:X189 X192:X193 X196:X197 X200 X209:X210 X219:X220">
    <cfRule type="expression" priority="62" dxfId="1018" stopIfTrue="1">
      <formula>$C38=1</formula>
    </cfRule>
    <cfRule type="expression" priority="63" dxfId="1019" stopIfTrue="1">
      <formula>OR($C38=0,$C38=2,$C38=3,$C38=4)</formula>
    </cfRule>
  </conditionalFormatting>
  <conditionalFormatting sqref="X28">
    <cfRule type="expression" priority="60" dxfId="1018" stopIfTrue="1">
      <formula>$C28=1</formula>
    </cfRule>
    <cfRule type="expression" priority="61" dxfId="1019" stopIfTrue="1">
      <formula>OR($C28=0,$C28=2,$C28=3,$C28=4)</formula>
    </cfRule>
  </conditionalFormatting>
  <conditionalFormatting sqref="X29">
    <cfRule type="expression" priority="58" dxfId="1018" stopIfTrue="1">
      <formula>$C29=1</formula>
    </cfRule>
    <cfRule type="expression" priority="59" dxfId="1019" stopIfTrue="1">
      <formula>OR($C29=0,$C29=2,$C29=3,$C29=4)</formula>
    </cfRule>
  </conditionalFormatting>
  <conditionalFormatting sqref="X33">
    <cfRule type="expression" priority="56" dxfId="1018" stopIfTrue="1">
      <formula>$C33=1</formula>
    </cfRule>
    <cfRule type="expression" priority="57" dxfId="1019" stopIfTrue="1">
      <formula>OR($C33=0,$C33=2,$C33=3,$C33=4)</formula>
    </cfRule>
  </conditionalFormatting>
  <conditionalFormatting sqref="X37">
    <cfRule type="expression" priority="54" dxfId="1018" stopIfTrue="1">
      <formula>$C37=1</formula>
    </cfRule>
    <cfRule type="expression" priority="55" dxfId="1019" stopIfTrue="1">
      <formula>OR($C37=0,$C37=2,$C37=3,$C37=4)</formula>
    </cfRule>
  </conditionalFormatting>
  <conditionalFormatting sqref="X44">
    <cfRule type="expression" priority="52" dxfId="1018" stopIfTrue="1">
      <formula>$C44=1</formula>
    </cfRule>
    <cfRule type="expression" priority="53" dxfId="1019" stopIfTrue="1">
      <formula>OR($C44=0,$C44=2,$C44=3,$C44=4)</formula>
    </cfRule>
  </conditionalFormatting>
  <conditionalFormatting sqref="M17">
    <cfRule type="cellIs" priority="35" dxfId="1017" operator="notEqual" stopIfTrue="1">
      <formula>$N17</formula>
    </cfRule>
  </conditionalFormatting>
  <conditionalFormatting sqref="W17:X17 R17 N17:O17">
    <cfRule type="expression" priority="36" dxfId="1018" stopIfTrue="1">
      <formula>$C17=1</formula>
    </cfRule>
    <cfRule type="expression" priority="37" dxfId="1019" stopIfTrue="1">
      <formula>OR($C17=0,$C17=2,$C17=3,$C17=4)</formula>
    </cfRule>
  </conditionalFormatting>
  <conditionalFormatting sqref="U17:V17">
    <cfRule type="expression" priority="38" dxfId="1020" stopIfTrue="1">
      <formula>$C17=1</formula>
    </cfRule>
    <cfRule type="expression" priority="39" dxfId="1021" stopIfTrue="1">
      <formula>OR($C17=0,$C17=2,$C17=3,$C17=4)</formula>
    </cfRule>
    <cfRule type="expression" priority="40" dxfId="1022" stopIfTrue="1">
      <formula>AND(TIPOORCAMENTO="Licitado",$C17&lt;&gt;"L",$C17&lt;&gt;-1)</formula>
    </cfRule>
  </conditionalFormatting>
  <conditionalFormatting sqref="AG17:AH17 Y17 S17:T17 P17:Q17">
    <cfRule type="expression" priority="41" dxfId="1023" stopIfTrue="1">
      <formula>$C17=1</formula>
    </cfRule>
    <cfRule type="expression" priority="42" dxfId="1021" stopIfTrue="1">
      <formula>OR($C17=0,$C17=2,$C17=3,$C17=4)</formula>
    </cfRule>
  </conditionalFormatting>
  <conditionalFormatting sqref="AJ17">
    <cfRule type="expression" priority="43" dxfId="1024" stopIfTrue="1">
      <formula>OR(ACOMPANHAMENTO&lt;&gt;"BM",TIPOORCAMENTO="Licitado")</formula>
    </cfRule>
    <cfRule type="expression" priority="44" dxfId="1023" stopIfTrue="1">
      <formula>$C17=1</formula>
    </cfRule>
    <cfRule type="expression" priority="45" dxfId="1021" stopIfTrue="1">
      <formula>OR(AND(ISNUMBER($C17),$C17=0),$C17=2,$C17=3,$C17=4)</formula>
    </cfRule>
  </conditionalFormatting>
  <conditionalFormatting sqref="AL17">
    <cfRule type="expression" priority="46" dxfId="1024" stopIfTrue="1">
      <formula>TIPOORCAMENTO="PROPOSTO"</formula>
    </cfRule>
    <cfRule type="expression" priority="47" dxfId="1023" stopIfTrue="1">
      <formula>$C17=1</formula>
    </cfRule>
    <cfRule type="expression" priority="48" dxfId="1021" stopIfTrue="1">
      <formula>OR(AND(ISNUMBER($C17),$C17=0),$C17=2,$C17=3,$C17=4)</formula>
    </cfRule>
  </conditionalFormatting>
  <conditionalFormatting sqref="AM17:AN17">
    <cfRule type="expression" priority="49" dxfId="1024" stopIfTrue="1">
      <formula>TIPOORCAMENTO="PROPOSTO"</formula>
    </cfRule>
    <cfRule type="expression" priority="50" dxfId="1027" stopIfTrue="1">
      <formula>$C17=1</formula>
    </cfRule>
    <cfRule type="expression" priority="51" dxfId="1019" stopIfTrue="1">
      <formula>OR(AND(ISNUMBER($C17),$C17=0),$C17=2,$C17=3,$C17=4)</formula>
    </cfRule>
  </conditionalFormatting>
  <conditionalFormatting sqref="M18">
    <cfRule type="cellIs" priority="18" dxfId="1017" operator="notEqual" stopIfTrue="1">
      <formula>$N18</formula>
    </cfRule>
  </conditionalFormatting>
  <conditionalFormatting sqref="W18:X18 R18 N18:O18">
    <cfRule type="expression" priority="19" dxfId="1018" stopIfTrue="1">
      <formula>$C18=1</formula>
    </cfRule>
    <cfRule type="expression" priority="20" dxfId="1019" stopIfTrue="1">
      <formula>OR($C18=0,$C18=2,$C18=3,$C18=4)</formula>
    </cfRule>
  </conditionalFormatting>
  <conditionalFormatting sqref="U18:V18">
    <cfRule type="expression" priority="21" dxfId="1020" stopIfTrue="1">
      <formula>$C18=1</formula>
    </cfRule>
    <cfRule type="expression" priority="22" dxfId="1021" stopIfTrue="1">
      <formula>OR($C18=0,$C18=2,$C18=3,$C18=4)</formula>
    </cfRule>
    <cfRule type="expression" priority="23" dxfId="1022" stopIfTrue="1">
      <formula>AND(TIPOORCAMENTO="Licitado",$C18&lt;&gt;"L",$C18&lt;&gt;-1)</formula>
    </cfRule>
  </conditionalFormatting>
  <conditionalFormatting sqref="AG18:AH18 Y18 S18:T18 P18:Q18">
    <cfRule type="expression" priority="24" dxfId="1023" stopIfTrue="1">
      <formula>$C18=1</formula>
    </cfRule>
    <cfRule type="expression" priority="25" dxfId="1021" stopIfTrue="1">
      <formula>OR($C18=0,$C18=2,$C18=3,$C18=4)</formula>
    </cfRule>
  </conditionalFormatting>
  <conditionalFormatting sqref="AJ18">
    <cfRule type="expression" priority="26" dxfId="1024" stopIfTrue="1">
      <formula>OR(ACOMPANHAMENTO&lt;&gt;"BM",TIPOORCAMENTO="Licitado")</formula>
    </cfRule>
    <cfRule type="expression" priority="27" dxfId="1023" stopIfTrue="1">
      <formula>$C18=1</formula>
    </cfRule>
    <cfRule type="expression" priority="28" dxfId="1021" stopIfTrue="1">
      <formula>OR(AND(ISNUMBER($C18),$C18=0),$C18=2,$C18=3,$C18=4)</formula>
    </cfRule>
  </conditionalFormatting>
  <conditionalFormatting sqref="AL18">
    <cfRule type="expression" priority="29" dxfId="1024" stopIfTrue="1">
      <formula>TIPOORCAMENTO="PROPOSTO"</formula>
    </cfRule>
    <cfRule type="expression" priority="30" dxfId="1023" stopIfTrue="1">
      <formula>$C18=1</formula>
    </cfRule>
    <cfRule type="expression" priority="31" dxfId="1021" stopIfTrue="1">
      <formula>OR(AND(ISNUMBER($C18),$C18=0),$C18=2,$C18=3,$C18=4)</formula>
    </cfRule>
  </conditionalFormatting>
  <conditionalFormatting sqref="AM18:AN18">
    <cfRule type="expression" priority="32" dxfId="1024" stopIfTrue="1">
      <formula>TIPOORCAMENTO="PROPOSTO"</formula>
    </cfRule>
    <cfRule type="expression" priority="33" dxfId="1027" stopIfTrue="1">
      <formula>$C18=1</formula>
    </cfRule>
    <cfRule type="expression" priority="34" dxfId="1019" stopIfTrue="1">
      <formula>OR(AND(ISNUMBER($C18),$C18=0),$C18=2,$C18=3,$C18=4)</formula>
    </cfRule>
  </conditionalFormatting>
  <conditionalFormatting sqref="M19">
    <cfRule type="cellIs" priority="1" dxfId="1017" operator="notEqual" stopIfTrue="1">
      <formula>$N19</formula>
    </cfRule>
  </conditionalFormatting>
  <conditionalFormatting sqref="W19:X19 R19 N19:O19">
    <cfRule type="expression" priority="2" dxfId="1018" stopIfTrue="1">
      <formula>$C19=1</formula>
    </cfRule>
    <cfRule type="expression" priority="3" dxfId="1019" stopIfTrue="1">
      <formula>OR($C19=0,$C19=2,$C19=3,$C19=4)</formula>
    </cfRule>
  </conditionalFormatting>
  <conditionalFormatting sqref="U19:V19">
    <cfRule type="expression" priority="4" dxfId="1020" stopIfTrue="1">
      <formula>$C19=1</formula>
    </cfRule>
    <cfRule type="expression" priority="5" dxfId="1021" stopIfTrue="1">
      <formula>OR($C19=0,$C19=2,$C19=3,$C19=4)</formula>
    </cfRule>
    <cfRule type="expression" priority="6" dxfId="1022" stopIfTrue="1">
      <formula>AND(TIPOORCAMENTO="Licitado",$C19&lt;&gt;"L",$C19&lt;&gt;-1)</formula>
    </cfRule>
  </conditionalFormatting>
  <conditionalFormatting sqref="AG19:AH19 Y19 S19:T19 P19:Q19">
    <cfRule type="expression" priority="7" dxfId="1023" stopIfTrue="1">
      <formula>$C19=1</formula>
    </cfRule>
    <cfRule type="expression" priority="8" dxfId="1021" stopIfTrue="1">
      <formula>OR($C19=0,$C19=2,$C19=3,$C19=4)</formula>
    </cfRule>
  </conditionalFormatting>
  <conditionalFormatting sqref="AJ19">
    <cfRule type="expression" priority="9" dxfId="1024" stopIfTrue="1">
      <formula>OR(ACOMPANHAMENTO&lt;&gt;"BM",TIPOORCAMENTO="Licitado")</formula>
    </cfRule>
    <cfRule type="expression" priority="10" dxfId="1023" stopIfTrue="1">
      <formula>$C19=1</formula>
    </cfRule>
    <cfRule type="expression" priority="11" dxfId="1021" stopIfTrue="1">
      <formula>OR(AND(ISNUMBER($C19),$C19=0),$C19=2,$C19=3,$C19=4)</formula>
    </cfRule>
  </conditionalFormatting>
  <conditionalFormatting sqref="AL19">
    <cfRule type="expression" priority="12" dxfId="1024" stopIfTrue="1">
      <formula>TIPOORCAMENTO="PROPOSTO"</formula>
    </cfRule>
    <cfRule type="expression" priority="13" dxfId="1023" stopIfTrue="1">
      <formula>$C19=1</formula>
    </cfRule>
    <cfRule type="expression" priority="14" dxfId="1021" stopIfTrue="1">
      <formula>OR(AND(ISNUMBER($C19),$C19=0),$C19=2,$C19=3,$C19=4)</formula>
    </cfRule>
  </conditionalFormatting>
  <conditionalFormatting sqref="AM19:AN19">
    <cfRule type="expression" priority="15" dxfId="1024" stopIfTrue="1">
      <formula>TIPOORCAMENTO="PROPOSTO"</formula>
    </cfRule>
    <cfRule type="expression" priority="16" dxfId="1027" stopIfTrue="1">
      <formula>$C19=1</formula>
    </cfRule>
    <cfRule type="expression" priority="17" dxfId="1019" stopIfTrue="1">
      <formula>OR(AND(ISNUMBER($C19),$C19=0),$C19=2,$C19=3,$C19=4)</formula>
    </cfRule>
  </conditionalFormatting>
  <dataValidations count="7">
    <dataValidation allowBlank="1" showInputMessage="1" showErrorMessage="1" prompt="Para Orçamento Proposto, o Preço Unitário é resultado do produto do Custo Unitário pelo BDI.&#10;Para Orçamento Licitado, deve ser preenchido na Coluna AL." sqref="W14"/>
    <dataValidation allowBlank="1" showInputMessage="1" showErrorMessage="1" prompt="A entrada de quantidades é feita na coluna AJ se acompanhamento por BM, ou na aba &quot;Memória de Cálculo/PLQ&quot; se acompanhamento por PLE." sqref="T14"/>
    <dataValidation type="list" showErrorMessage="1" promptTitle="Nível:" prompt="Selecione na lista o nível de itemização da Planilha." errorTitle="Erro de Entrada" error="Selecione somente os itens da lista." sqref="M14">
      <formula1>"Meta,Nível 2,Nível 3,Nível 4,Serviço"</formula1>
      <formula2>0</formula2>
    </dataValidation>
    <dataValidation errorStyle="warning" type="list" allowBlank="1" showErrorMessage="1" errorTitle="Aviso BDI" error="Selecione um dos 3 BDI da lista.&#10;&#10;Caso tenha mais de 3 BDI nesta Planilha Orçamentária digite apenas valor percentual." sqref="V14">
      <formula1>"BDI 1,BDI 2,BDI 3,0,00%"</formula1>
      <formula2>0</formula2>
    </dataValidation>
    <dataValidation errorStyle="warning" type="list" allowBlank="1" showInputMessage="1" showErrorMessage="1" promptTitle="Legenda:" prompt="RA: Rateio proporcional entre Repasse e Contrapartida.&#10;RP: 100% Repasse&#10;CP: 100% Contrapartida&#10;OU: 100% Outros." errorTitle="Aviso BDI" error="Selecione um dos 3 BDI da lista.&#10;&#10;Caso tenha mais de 3 BDI nesta Planilha Orçamentária digite apenas valor percentual." sqref="Y14">
      <formula1>"RA,RP,CP,OU"</formula1>
      <formula2>0</formula2>
    </dataValidation>
    <dataValidation type="list" allowBlank="1" sqref="P14">
      <formula1>"SINAPI,SINAPI-I,SICRO,Composição,Cotação"</formula1>
      <formula2>0</formula2>
    </dataValidation>
    <dataValidation type="decimal" operator="greaterThan" allowBlank="1" showErrorMessage="1" error="Apenas números decimais maiores que zero." sqref="U14">
      <formula1>0</formula1>
    </dataValidation>
  </dataValidations>
  <printOptions/>
  <pageMargins left="1.5748031496062993" right="0.5118110236220472" top="0.7874015748031497" bottom="0.7874015748031497" header="0.31496062992125984" footer="0.31496062992125984"/>
  <pageSetup fitToHeight="0" horizontalDpi="600" verticalDpi="600" orientation="portrait" paperSize="9" scale="4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3"/>
  <sheetViews>
    <sheetView zoomScalePageLayoutView="0" workbookViewId="0" topLeftCell="A1">
      <selection activeCell="K18" sqref="K18"/>
    </sheetView>
  </sheetViews>
  <sheetFormatPr defaultColWidth="9.140625" defaultRowHeight="15"/>
  <cols>
    <col min="3" max="3" width="14.7109375" style="0" customWidth="1"/>
    <col min="4" max="4" width="29.7109375" style="0" customWidth="1"/>
  </cols>
  <sheetData>
    <row r="2" spans="1:9" ht="15">
      <c r="A2" s="143" t="s">
        <v>473</v>
      </c>
      <c r="B2" s="143"/>
      <c r="C2" s="143"/>
      <c r="D2" s="143"/>
      <c r="E2" s="143"/>
      <c r="F2" s="143"/>
      <c r="G2" s="143"/>
      <c r="H2" s="143"/>
      <c r="I2" s="143"/>
    </row>
    <row r="4" spans="1:8" ht="15">
      <c r="A4" s="113" t="s">
        <v>464</v>
      </c>
      <c r="B4" s="114"/>
      <c r="C4" s="155" t="s">
        <v>461</v>
      </c>
      <c r="D4" s="155"/>
      <c r="E4" s="156" t="s">
        <v>462</v>
      </c>
      <c r="F4" s="156"/>
      <c r="G4" s="157"/>
      <c r="H4" s="158"/>
    </row>
    <row r="5" spans="1:8" ht="15">
      <c r="A5" s="113" t="s">
        <v>465</v>
      </c>
      <c r="B5" s="114"/>
      <c r="C5" s="155" t="s">
        <v>481</v>
      </c>
      <c r="D5" s="155"/>
      <c r="E5" s="156" t="s">
        <v>482</v>
      </c>
      <c r="F5" s="156"/>
      <c r="G5" s="157"/>
      <c r="H5" s="158"/>
    </row>
    <row r="7" spans="1:9" ht="15">
      <c r="A7" s="115"/>
      <c r="B7" s="116" t="s">
        <v>466</v>
      </c>
      <c r="C7" s="116" t="s">
        <v>467</v>
      </c>
      <c r="D7" s="117" t="s">
        <v>468</v>
      </c>
      <c r="E7" s="116" t="s">
        <v>469</v>
      </c>
      <c r="F7" s="152" t="s">
        <v>470</v>
      </c>
      <c r="G7" s="152"/>
      <c r="H7" s="152" t="s">
        <v>471</v>
      </c>
      <c r="I7" s="152"/>
    </row>
    <row r="8" spans="1:9" ht="23.25" customHeight="1">
      <c r="A8" s="118" t="s">
        <v>472</v>
      </c>
      <c r="B8" s="116" t="s">
        <v>473</v>
      </c>
      <c r="C8" s="119" t="s">
        <v>99</v>
      </c>
      <c r="D8" s="124" t="s">
        <v>480</v>
      </c>
      <c r="E8" s="119" t="s">
        <v>469</v>
      </c>
      <c r="F8" s="153">
        <v>115</v>
      </c>
      <c r="G8" s="153"/>
      <c r="H8" s="154"/>
      <c r="I8" s="154"/>
    </row>
    <row r="9" spans="1:9" ht="15">
      <c r="A9" s="115"/>
      <c r="B9" s="115"/>
      <c r="C9" s="120" t="s">
        <v>474</v>
      </c>
      <c r="D9" s="145" t="s">
        <v>475</v>
      </c>
      <c r="E9" s="146"/>
      <c r="F9" s="147" t="s">
        <v>476</v>
      </c>
      <c r="G9" s="147"/>
      <c r="H9" s="147" t="s">
        <v>477</v>
      </c>
      <c r="I9" s="147"/>
    </row>
    <row r="10" spans="1:9" ht="15">
      <c r="A10" s="115"/>
      <c r="B10" s="115"/>
      <c r="C10" s="121" t="s">
        <v>464</v>
      </c>
      <c r="D10" s="148" t="s">
        <v>461</v>
      </c>
      <c r="E10" s="149"/>
      <c r="F10" s="150">
        <v>110</v>
      </c>
      <c r="G10" s="150"/>
      <c r="H10" s="151" t="s">
        <v>483</v>
      </c>
      <c r="I10" s="151"/>
    </row>
    <row r="11" spans="1:9" ht="15">
      <c r="A11" s="115"/>
      <c r="B11" s="115"/>
      <c r="C11" s="121" t="s">
        <v>465</v>
      </c>
      <c r="D11" s="148" t="s">
        <v>463</v>
      </c>
      <c r="E11" s="149"/>
      <c r="F11" s="150">
        <v>120</v>
      </c>
      <c r="G11" s="150"/>
      <c r="H11" s="151" t="s">
        <v>483</v>
      </c>
      <c r="I11" s="151"/>
    </row>
    <row r="12" spans="1:9" ht="15">
      <c r="A12" s="115"/>
      <c r="B12" s="115"/>
      <c r="C12" s="121"/>
      <c r="D12" s="148" t="s">
        <v>478</v>
      </c>
      <c r="E12" s="149"/>
      <c r="F12" s="150"/>
      <c r="G12" s="150"/>
      <c r="H12" s="151"/>
      <c r="I12" s="151"/>
    </row>
    <row r="13" spans="1:9" ht="15">
      <c r="A13" s="115"/>
      <c r="B13" s="115"/>
      <c r="C13" s="122" t="s">
        <v>479</v>
      </c>
      <c r="D13" s="144"/>
      <c r="E13" s="144"/>
      <c r="F13" s="144"/>
      <c r="G13" s="144"/>
      <c r="H13" s="144"/>
      <c r="I13" s="144"/>
    </row>
  </sheetData>
  <sheetProtection/>
  <mergeCells count="24">
    <mergeCell ref="F8:G8"/>
    <mergeCell ref="H8:I8"/>
    <mergeCell ref="C4:D4"/>
    <mergeCell ref="E4:F4"/>
    <mergeCell ref="G4:H4"/>
    <mergeCell ref="C5:D5"/>
    <mergeCell ref="E5:F5"/>
    <mergeCell ref="G5:H5"/>
    <mergeCell ref="A2:I2"/>
    <mergeCell ref="D13:I13"/>
    <mergeCell ref="D9:E9"/>
    <mergeCell ref="F9:G9"/>
    <mergeCell ref="H9:I9"/>
    <mergeCell ref="D12:E12"/>
    <mergeCell ref="F12:G12"/>
    <mergeCell ref="H12:I12"/>
    <mergeCell ref="D10:E10"/>
    <mergeCell ref="F10:G10"/>
    <mergeCell ref="H10:I10"/>
    <mergeCell ref="D11:E11"/>
    <mergeCell ref="F11:G11"/>
    <mergeCell ref="H11:I11"/>
    <mergeCell ref="F7:G7"/>
    <mergeCell ref="H7:I7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Planege</dc:creator>
  <cp:keywords/>
  <dc:description/>
  <cp:lastModifiedBy>Adiministrador</cp:lastModifiedBy>
  <cp:lastPrinted>2022-08-10T13:06:41Z</cp:lastPrinted>
  <dcterms:created xsi:type="dcterms:W3CDTF">2022-07-26T18:14:40Z</dcterms:created>
  <dcterms:modified xsi:type="dcterms:W3CDTF">2022-08-12T11:55:08Z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